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0" documentId="13_ncr:1_{7313049B-73FB-4078-86D4-2EC882BA2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4" sheetId="31" r:id="rId1"/>
  </sheets>
  <definedNames>
    <definedName name="_xlnm.Print_Area" localSheetId="0">'dal 1 ottobre 2024'!$B$1:$V$79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31" l="1"/>
  <c r="L22" i="31"/>
  <c r="N21" i="31"/>
  <c r="M21" i="31"/>
  <c r="L21" i="31"/>
  <c r="N20" i="31"/>
  <c r="M20" i="31"/>
  <c r="N22" i="31"/>
  <c r="L20" i="31"/>
  <c r="U20" i="31"/>
  <c r="V70" i="31"/>
  <c r="V74" i="31"/>
  <c r="V73" i="31"/>
  <c r="V64" i="31"/>
  <c r="V63" i="31"/>
  <c r="V53" i="31"/>
  <c r="V54" i="31"/>
  <c r="V43" i="31"/>
  <c r="V44" i="31"/>
  <c r="V34" i="31"/>
  <c r="V20" i="31"/>
  <c r="V24" i="31"/>
  <c r="V23" i="31"/>
  <c r="U74" i="31"/>
  <c r="U73" i="31"/>
  <c r="U70" i="31"/>
  <c r="U63" i="31"/>
  <c r="U64" i="31"/>
  <c r="U54" i="31"/>
  <c r="U53" i="31"/>
  <c r="U44" i="31"/>
  <c r="U43" i="31"/>
  <c r="U34" i="31"/>
  <c r="U33" i="31"/>
  <c r="U24" i="31"/>
  <c r="U23" i="31"/>
  <c r="O30" i="31"/>
  <c r="B28" i="31"/>
  <c r="O34" i="31" l="1"/>
  <c r="T34" i="31"/>
  <c r="O33" i="31"/>
  <c r="O44" i="31"/>
  <c r="O43" i="31"/>
  <c r="O40" i="31"/>
  <c r="O54" i="31"/>
  <c r="O53" i="31"/>
  <c r="O50" i="31"/>
  <c r="O64" i="31"/>
  <c r="O63" i="31"/>
  <c r="O60" i="31"/>
  <c r="O74" i="31"/>
  <c r="O73" i="31"/>
  <c r="O70" i="31"/>
  <c r="Q73" i="31"/>
  <c r="Q63" i="31"/>
  <c r="Q53" i="31"/>
  <c r="Q43" i="31"/>
  <c r="Q33" i="31"/>
  <c r="P70" i="31"/>
  <c r="P60" i="31"/>
  <c r="P50" i="31"/>
  <c r="P40" i="31"/>
  <c r="P30" i="31"/>
  <c r="S74" i="31"/>
  <c r="S73" i="31"/>
  <c r="S70" i="31"/>
  <c r="S64" i="31"/>
  <c r="S63" i="31"/>
  <c r="S60" i="31"/>
  <c r="S54" i="31"/>
  <c r="S53" i="31"/>
  <c r="S50" i="31"/>
  <c r="S44" i="31"/>
  <c r="S43" i="31"/>
  <c r="S40" i="31"/>
  <c r="S30" i="31"/>
  <c r="S34" i="31"/>
  <c r="S33" i="31"/>
  <c r="R70" i="31"/>
  <c r="R60" i="31"/>
  <c r="R50" i="31"/>
  <c r="R40" i="31"/>
  <c r="R30" i="31"/>
  <c r="S24" i="31"/>
  <c r="S23" i="31"/>
  <c r="S20" i="31"/>
  <c r="R20" i="31"/>
  <c r="V33" i="31"/>
  <c r="V30" i="31"/>
  <c r="V40" i="31" s="1"/>
  <c r="V50" i="31" s="1"/>
  <c r="V60" i="31" s="1"/>
  <c r="U30" i="31"/>
  <c r="U40" i="31" s="1"/>
  <c r="U50" i="31" s="1"/>
  <c r="U60" i="31" s="1"/>
  <c r="Q23" i="31"/>
  <c r="P20" i="31"/>
  <c r="O20" i="31"/>
  <c r="O23" i="31"/>
  <c r="O24" i="31"/>
  <c r="T33" i="31" l="1"/>
  <c r="T73" i="31"/>
  <c r="T74" i="31"/>
  <c r="T70" i="31"/>
  <c r="T24" i="31"/>
  <c r="T23" i="31"/>
  <c r="T20" i="3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D30" i="31"/>
  <c r="C30" i="31"/>
  <c r="J34" i="31"/>
  <c r="J44" i="31" s="1"/>
  <c r="J54" i="31" s="1"/>
  <c r="J64" i="31" s="1"/>
  <c r="J74" i="31" s="1"/>
  <c r="J33" i="31"/>
  <c r="J43" i="31" s="1"/>
  <c r="J53" i="31" s="1"/>
  <c r="J63" i="31" s="1"/>
  <c r="J73" i="31" s="1"/>
  <c r="K34" i="31"/>
  <c r="K44" i="31" s="1"/>
  <c r="K54" i="31" s="1"/>
  <c r="K64" i="31" s="1"/>
  <c r="K74" i="31" s="1"/>
  <c r="I34" i="31"/>
  <c r="I44" i="31" s="1"/>
  <c r="I54" i="31" s="1"/>
  <c r="I64" i="31" s="1"/>
  <c r="I74" i="31" s="1"/>
  <c r="H34" i="31"/>
  <c r="H44" i="31" s="1"/>
  <c r="H54" i="31" s="1"/>
  <c r="H64" i="31" s="1"/>
  <c r="H74" i="31" s="1"/>
  <c r="G34" i="31"/>
  <c r="G44" i="31" s="1"/>
  <c r="G54" i="31" s="1"/>
  <c r="G64" i="31" s="1"/>
  <c r="G74" i="31" s="1"/>
  <c r="F34" i="31"/>
  <c r="F44" i="31" s="1"/>
  <c r="F54" i="31" s="1"/>
  <c r="F64" i="31" s="1"/>
  <c r="F74" i="31" s="1"/>
  <c r="E34" i="31"/>
  <c r="E44" i="31" s="1"/>
  <c r="E54" i="31" s="1"/>
  <c r="E64" i="31" s="1"/>
  <c r="E74" i="31" s="1"/>
  <c r="D34" i="31"/>
  <c r="D44" i="31" s="1"/>
  <c r="D54" i="31" s="1"/>
  <c r="D64" i="31" s="1"/>
  <c r="D74" i="31" s="1"/>
  <c r="C34" i="31"/>
  <c r="C44" i="31" s="1"/>
  <c r="C54" i="31" s="1"/>
  <c r="C64" i="31" s="1"/>
  <c r="C74" i="31" s="1"/>
  <c r="K33" i="31"/>
  <c r="K43" i="31" s="1"/>
  <c r="K53" i="31" s="1"/>
  <c r="K63" i="31" s="1"/>
  <c r="K73" i="31" s="1"/>
  <c r="I33" i="31"/>
  <c r="L33" i="31" s="1"/>
  <c r="H33" i="31"/>
  <c r="H43" i="31" s="1"/>
  <c r="H53" i="31" s="1"/>
  <c r="H63" i="31" s="1"/>
  <c r="H73" i="31" s="1"/>
  <c r="G33" i="31"/>
  <c r="G43" i="31" s="1"/>
  <c r="G53" i="31" s="1"/>
  <c r="G63" i="31" s="1"/>
  <c r="G73" i="31" s="1"/>
  <c r="F33" i="31"/>
  <c r="F43" i="31" s="1"/>
  <c r="F53" i="31" s="1"/>
  <c r="F63" i="31" s="1"/>
  <c r="F73" i="31" s="1"/>
  <c r="E33" i="31"/>
  <c r="E43" i="31" s="1"/>
  <c r="E53" i="31" s="1"/>
  <c r="E63" i="31" s="1"/>
  <c r="E73" i="31" s="1"/>
  <c r="D33" i="31"/>
  <c r="D43" i="31" s="1"/>
  <c r="D53" i="31" s="1"/>
  <c r="D63" i="31" s="1"/>
  <c r="D73" i="31" s="1"/>
  <c r="C33" i="31"/>
  <c r="C43" i="31" s="1"/>
  <c r="C53" i="31" s="1"/>
  <c r="C63" i="31" s="1"/>
  <c r="C73" i="31" s="1"/>
  <c r="K32" i="31"/>
  <c r="K42" i="31" s="1"/>
  <c r="K52" i="31" s="1"/>
  <c r="K62" i="31" s="1"/>
  <c r="K72" i="31" s="1"/>
  <c r="H32" i="31"/>
  <c r="H42" i="31" s="1"/>
  <c r="H52" i="31" s="1"/>
  <c r="H62" i="31" s="1"/>
  <c r="H72" i="31" s="1"/>
  <c r="G32" i="31"/>
  <c r="G42" i="31" s="1"/>
  <c r="G52" i="31" s="1"/>
  <c r="G62" i="31" s="1"/>
  <c r="G72" i="31" s="1"/>
  <c r="F32" i="31"/>
  <c r="F42" i="31" s="1"/>
  <c r="F52" i="31" s="1"/>
  <c r="F62" i="31" s="1"/>
  <c r="F72" i="31" s="1"/>
  <c r="K31" i="31"/>
  <c r="K41" i="31" s="1"/>
  <c r="K51" i="31" s="1"/>
  <c r="K61" i="31" s="1"/>
  <c r="K71" i="31" s="1"/>
  <c r="H31" i="31"/>
  <c r="H41" i="31" s="1"/>
  <c r="H51" i="31" s="1"/>
  <c r="H61" i="31" s="1"/>
  <c r="H71" i="31" s="1"/>
  <c r="G31" i="31"/>
  <c r="G41" i="31" s="1"/>
  <c r="G51" i="31" s="1"/>
  <c r="G61" i="31" s="1"/>
  <c r="G71" i="31" s="1"/>
  <c r="F31" i="31"/>
  <c r="F41" i="31" s="1"/>
  <c r="F51" i="31" s="1"/>
  <c r="F61" i="31" s="1"/>
  <c r="F71" i="31" s="1"/>
  <c r="K30" i="31"/>
  <c r="K40" i="31" s="1"/>
  <c r="K50" i="31" s="1"/>
  <c r="K60" i="31" s="1"/>
  <c r="K70" i="31" s="1"/>
  <c r="J30" i="31"/>
  <c r="J40" i="31" s="1"/>
  <c r="J50" i="31" s="1"/>
  <c r="J60" i="31" s="1"/>
  <c r="J70" i="31" s="1"/>
  <c r="H30" i="31"/>
  <c r="H40" i="31" s="1"/>
  <c r="H50" i="31" s="1"/>
  <c r="G30" i="31"/>
  <c r="G40" i="31" s="1"/>
  <c r="G50" i="31" s="1"/>
  <c r="F30" i="31"/>
  <c r="F40" i="31" s="1"/>
  <c r="B32" i="31"/>
  <c r="B42" i="31" s="1"/>
  <c r="B52" i="31" s="1"/>
  <c r="B62" i="31" s="1"/>
  <c r="B72" i="31" s="1"/>
  <c r="B31" i="31"/>
  <c r="B41" i="31" s="1"/>
  <c r="B51" i="31" s="1"/>
  <c r="B61" i="31" s="1"/>
  <c r="B71" i="31" s="1"/>
  <c r="B30" i="31"/>
  <c r="B40" i="31" s="1"/>
  <c r="B50" i="31" s="1"/>
  <c r="B60" i="31" s="1"/>
  <c r="B70" i="31" s="1"/>
  <c r="L23" i="31"/>
  <c r="L30" i="31" l="1"/>
  <c r="M30" i="31"/>
  <c r="N30" i="31"/>
  <c r="D42" i="31"/>
  <c r="M42" i="31" s="1"/>
  <c r="C42" i="31"/>
  <c r="L42" i="31" s="1"/>
  <c r="E42" i="31"/>
  <c r="N42" i="31" s="1"/>
  <c r="D41" i="31"/>
  <c r="M41" i="31" s="1"/>
  <c r="E41" i="31"/>
  <c r="N41" i="31" s="1"/>
  <c r="C41" i="31"/>
  <c r="L41" i="31" s="1"/>
  <c r="E40" i="31"/>
  <c r="N40" i="31" s="1"/>
  <c r="D40" i="31"/>
  <c r="M40" i="31" s="1"/>
  <c r="E50" i="31"/>
  <c r="N50" i="31" s="1"/>
  <c r="G60" i="31"/>
  <c r="G70" i="31" s="1"/>
  <c r="H60" i="31"/>
  <c r="H70" i="31" s="1"/>
  <c r="F50" i="31"/>
  <c r="F60" i="31" s="1"/>
  <c r="C40" i="31"/>
  <c r="L40" i="31" s="1"/>
  <c r="I43" i="31"/>
  <c r="E52" i="31" l="1"/>
  <c r="N52" i="31" s="1"/>
  <c r="C52" i="31"/>
  <c r="L52" i="31" s="1"/>
  <c r="D52" i="31"/>
  <c r="M52" i="31" s="1"/>
  <c r="D51" i="31"/>
  <c r="M51" i="31" s="1"/>
  <c r="E51" i="31"/>
  <c r="N51" i="31" s="1"/>
  <c r="C51" i="31"/>
  <c r="L51" i="31" s="1"/>
  <c r="E60" i="31"/>
  <c r="N60" i="31" s="1"/>
  <c r="D50" i="31"/>
  <c r="M50" i="31" s="1"/>
  <c r="C50" i="31"/>
  <c r="L50" i="31" s="1"/>
  <c r="L43" i="31"/>
  <c r="I53" i="31"/>
  <c r="F70" i="31"/>
  <c r="B38" i="31"/>
  <c r="B48" i="31" s="1"/>
  <c r="B58" i="31" s="1"/>
  <c r="B68" i="31" s="1"/>
  <c r="D62" i="31" l="1"/>
  <c r="M62" i="31" s="1"/>
  <c r="C62" i="31"/>
  <c r="L62" i="31" s="1"/>
  <c r="E62" i="31"/>
  <c r="N62" i="31" s="1"/>
  <c r="E61" i="31"/>
  <c r="N61" i="31" s="1"/>
  <c r="D61" i="31"/>
  <c r="M61" i="31" s="1"/>
  <c r="C61" i="31"/>
  <c r="L61" i="31" s="1"/>
  <c r="D60" i="31"/>
  <c r="M60" i="31" s="1"/>
  <c r="E70" i="31"/>
  <c r="N70" i="31" s="1"/>
  <c r="C60" i="31"/>
  <c r="L60" i="31" s="1"/>
  <c r="I63" i="31"/>
  <c r="L53" i="31"/>
  <c r="E72" i="31" l="1"/>
  <c r="N72" i="31" s="1"/>
  <c r="C72" i="31"/>
  <c r="L72" i="31" s="1"/>
  <c r="D72" i="31"/>
  <c r="M72" i="31" s="1"/>
  <c r="E71" i="31"/>
  <c r="N71" i="31" s="1"/>
  <c r="C71" i="31"/>
  <c r="L71" i="31" s="1"/>
  <c r="D71" i="31"/>
  <c r="M71" i="31" s="1"/>
  <c r="D70" i="31"/>
  <c r="M70" i="31" s="1"/>
  <c r="C70" i="31"/>
  <c r="L70" i="31" s="1"/>
  <c r="L63" i="31"/>
  <c r="I73" i="31"/>
  <c r="L73" i="31" s="1"/>
  <c r="T30" i="31"/>
  <c r="T44" i="31"/>
  <c r="T43" i="31"/>
  <c r="T40" i="31"/>
  <c r="T54" i="31"/>
  <c r="T53" i="31"/>
  <c r="T50" i="31"/>
  <c r="T64" i="31"/>
  <c r="T63" i="31"/>
  <c r="T60" i="31"/>
</calcChain>
</file>

<file path=xl/sharedStrings.xml><?xml version="1.0" encoding="utf-8"?>
<sst xmlns="http://schemas.openxmlformats.org/spreadsheetml/2006/main" count="253" uniqueCount="53">
  <si>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</si>
  <si>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</si>
  <si>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</si>
  <si>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</si>
  <si>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</si>
  <si>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</si>
  <si>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</si>
  <si>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</si>
  <si>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</si>
  <si>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</si>
  <si>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</si>
  <si>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</si>
  <si>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</si>
  <si>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</si>
  <si>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</si>
  <si>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</si>
  <si>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</si>
  <si>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</si>
  <si>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</si>
  <si>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</si>
  <si>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</si>
  <si>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</si>
  <si>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</si>
  <si>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</si>
  <si>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</si>
  <si>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</si>
  <si>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</si>
  <si>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</si>
  <si>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</si>
  <si>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</si>
  <si>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</si>
  <si>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</si>
  <si>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</si>
  <si>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</si>
  <si>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</si>
  <si>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BTA1 - per potenze impegnate inferiori o uguali a 1,5 kW</t>
  </si>
  <si>
    <t>BTA2  - per potenze impegnate superiori a 1,5 kW e inferiori o uguali a 3 kW</t>
  </si>
  <si>
    <t>BTA3  - per potenze impegnate superiori a 3 kW e inferiori o uguali a 6 kW</t>
  </si>
  <si>
    <t>BTA4  - per potenze impegnate superiori a 6 kW e inferiori o uguali a 10 kW</t>
  </si>
  <si>
    <t>BTA5  - per potenze impegnate superiori a 10 kW e inferiori o uguali a 15 kW</t>
  </si>
  <si>
    <t>BTA6  - per potenze impegnate superiori a 15 kW</t>
  </si>
  <si>
    <t>Condizioni economiche per i clienti del Servizio a Tutele Graduali "Piccole Imprese"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</si>
  <si>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</si>
  <si>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</si>
  <si>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</si>
  <si>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UTENZE NON DOMESTICHE BASSA TENSIONE</t>
  </si>
  <si>
    <t>Per visualizzare in dettaglio le componenti di prezzo, cliccare su "+" sopra le colonne L, T</t>
  </si>
  <si>
    <t>così come stabilito dalla delibera 362/2023/R/eel dell'Autorità di Regolazione per Energia Reti e Ambiente (ARERA)</t>
  </si>
  <si>
    <t>dal 1 Ottobre 2024</t>
  </si>
  <si>
    <t>Ottobre 2024</t>
  </si>
  <si>
    <t>Novembre 2024</t>
  </si>
  <si>
    <t>Dicembre 2024</t>
  </si>
  <si>
    <t>1 Ottobre - 31 Dicembre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</si>
</sst>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</numFmts>
  <fonts count="36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i/>
      <sz val="9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75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4" fillId="3" borderId="3" xfId="0" quotePrefix="1" applyNumberFormat="1" applyFont="1" applyFill="1" applyBorder="1" applyAlignment="1">
      <alignment horizontal="right" vertical="center"/>
    </xf>
    <xf numFmtId="170" fontId="34" fillId="3" borderId="5" xfId="0" quotePrefix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" fillId="2" borderId="5" xfId="1" applyNumberFormat="1" applyFont="1" applyFill="1" applyBorder="1" applyAlignment="1">
      <alignment vertical="center"/>
    </xf>
    <xf numFmtId="168" fontId="34" fillId="3" borderId="5" xfId="0" quotePrefix="1" applyNumberFormat="1" applyFont="1" applyFill="1" applyBorder="1" applyAlignment="1">
      <alignment horizontal="right" vertical="center"/>
    </xf>
    <xf numFmtId="168" fontId="34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169" fontId="16" fillId="3" borderId="9" xfId="0" quotePrefix="1" applyNumberFormat="1" applyFont="1" applyFill="1" applyBorder="1" applyAlignment="1">
      <alignment horizontal="right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3" fillId="0" borderId="3" xfId="3" quotePrefix="1" applyNumberFormat="1" applyFont="1" applyFill="1" applyBorder="1" applyAlignment="1">
      <alignment horizontal="center" vertical="center"/>
    </xf>
    <xf numFmtId="169" fontId="33" fillId="0" borderId="10" xfId="3" applyNumberFormat="1" applyFont="1" applyFill="1" applyBorder="1" applyAlignment="1">
      <alignment horizontal="center" vertical="center"/>
    </xf>
    <xf numFmtId="169" fontId="33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35" fillId="2" borderId="1" xfId="1" applyNumberFormat="1" applyFont="1" applyFill="1" applyBorder="1" applyAlignment="1">
      <alignment horizontal="right" vertical="center"/>
    </xf>
    <xf numFmtId="170" fontId="35" fillId="2" borderId="12" xfId="1" applyNumberFormat="1" applyFont="1" applyFill="1" applyBorder="1" applyAlignment="1">
      <alignment horizontal="right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170" fontId="3" fillId="2" borderId="2" xfId="1" applyNumberFormat="1" applyFont="1" applyFill="1" applyBorder="1" applyAlignment="1">
      <alignment horizontal="right" vertical="center"/>
    </xf>
    <xf numFmtId="170" fontId="3" fillId="2" borderId="9" xfId="1" applyNumberFormat="1" applyFont="1" applyFill="1" applyBorder="1" applyAlignment="1">
      <alignment horizontal="right" vertical="center"/>
    </xf>
    <xf numFmtId="170" fontId="3" fillId="2" borderId="13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3" fillId="0" borderId="3" xfId="3" quotePrefix="1" applyNumberFormat="1" applyFont="1" applyFill="1" applyBorder="1" applyAlignment="1">
      <alignment horizontal="center" vertical="center"/>
    </xf>
    <xf numFmtId="170" fontId="33" fillId="0" borderId="10" xfId="3" applyNumberFormat="1" applyFont="1" applyFill="1" applyBorder="1" applyAlignment="1">
      <alignment horizontal="center" vertical="center"/>
    </xf>
    <xf numFmtId="170" fontId="33" fillId="0" borderId="6" xfId="3" applyNumberFormat="1" applyFont="1" applyFill="1" applyBorder="1" applyAlignment="1">
      <alignment horizontal="center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8" fontId="18" fillId="2" borderId="9" xfId="1" quotePrefix="1" applyNumberFormat="1" applyFont="1" applyFill="1" applyBorder="1" applyAlignment="1">
      <alignment horizontal="center" vertical="center"/>
    </xf>
    <xf numFmtId="168" fontId="18" fillId="2" borderId="13" xfId="1" quotePrefix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0"/>
  <sheetViews>
    <sheetView tabSelected="1" topLeftCell="A4" zoomScaleNormal="100" workbookViewId="0">
      <selection activeCell="C22" sqref="C22:E22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43" customWidth="1" collapsed="1"/>
    <col min="13" max="14" width="16.7109375" style="43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9" t="s">
        <v>41</v>
      </c>
      <c r="C2" s="4"/>
      <c r="D2" s="4"/>
      <c r="E2" s="4"/>
      <c r="F2" s="4"/>
      <c r="G2" s="4"/>
      <c r="H2" s="4"/>
      <c r="I2" s="4"/>
      <c r="J2" s="4"/>
      <c r="K2" s="4"/>
      <c r="L2" s="44"/>
      <c r="M2" s="44"/>
      <c r="N2" s="44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44"/>
      <c r="M3" s="44"/>
      <c r="N3" s="44"/>
    </row>
    <row r="4" spans="1:257" x14ac:dyDescent="0.2">
      <c r="W4" s="9"/>
    </row>
    <row r="5" spans="1:257" ht="15" customHeight="1" x14ac:dyDescent="0.2">
      <c r="B5" s="8" t="s">
        <v>48</v>
      </c>
      <c r="C5" s="13"/>
      <c r="D5" s="14"/>
      <c r="E5" s="14"/>
      <c r="F5" s="14"/>
      <c r="G5" s="13"/>
      <c r="H5" s="13"/>
      <c r="I5" s="13"/>
      <c r="J5" s="13"/>
      <c r="K5" s="15"/>
      <c r="L5" s="45"/>
      <c r="M5" s="80" t="s">
        <v>46</v>
      </c>
      <c r="W5" s="9"/>
    </row>
    <row r="6" spans="1:257" x14ac:dyDescent="0.2">
      <c r="B6" s="9"/>
      <c r="C6" s="9"/>
      <c r="D6" s="16"/>
      <c r="E6" s="16"/>
      <c r="F6" s="16"/>
      <c r="G6" s="9"/>
      <c r="H6" s="9"/>
      <c r="I6" s="9"/>
      <c r="J6" s="9"/>
      <c r="K6" s="9"/>
      <c r="W6" s="9"/>
    </row>
    <row r="7" spans="1:257" ht="14.25" customHeight="1" x14ac:dyDescent="0.2">
      <c r="B7" s="117" t="s">
        <v>45</v>
      </c>
      <c r="C7" s="118"/>
      <c r="D7" s="119"/>
      <c r="E7" s="119"/>
      <c r="F7" s="119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20"/>
    </row>
    <row r="8" spans="1:257" customFormat="1" ht="30.75" customHeight="1" x14ac:dyDescent="0.2">
      <c r="A8" s="27"/>
      <c r="B8" s="83" t="s">
        <v>34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5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</row>
    <row r="9" spans="1:257" customFormat="1" ht="15" customHeight="1" x14ac:dyDescent="0.2">
      <c r="A9" s="27"/>
      <c r="B9" s="126" t="s">
        <v>20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8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</row>
    <row r="10" spans="1:257" customFormat="1" ht="15" customHeight="1" x14ac:dyDescent="0.25">
      <c r="A10" s="27"/>
      <c r="B10" s="129" t="s">
        <v>22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1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</row>
    <row r="11" spans="1:257" customFormat="1" ht="18.75" customHeight="1" x14ac:dyDescent="0.2">
      <c r="A11" s="27"/>
      <c r="B11" s="132" t="s">
        <v>47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4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</row>
    <row r="12" spans="1:257" customFormat="1" ht="15" customHeight="1" x14ac:dyDescent="0.2">
      <c r="A12" s="27"/>
      <c r="B12" s="135" t="s">
        <v>6</v>
      </c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</row>
    <row r="13" spans="1:257" customFormat="1" ht="15" customHeight="1" x14ac:dyDescent="0.2">
      <c r="A13" s="27"/>
      <c r="B13" s="126" t="s">
        <v>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8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</row>
    <row r="14" spans="1:257" customFormat="1" ht="15" customHeight="1" x14ac:dyDescent="0.2">
      <c r="A14" s="27"/>
      <c r="B14" s="132" t="s">
        <v>8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4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</row>
    <row r="15" spans="1:257" customForma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46"/>
      <c r="M15" s="46"/>
      <c r="N15" s="46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</row>
    <row r="16" spans="1:257" customFormat="1" ht="38.25" customHeight="1" x14ac:dyDescent="0.2">
      <c r="A16" s="27"/>
      <c r="B16" s="86" t="s">
        <v>26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</row>
    <row r="17" spans="2:35" ht="14.25" customHeight="1" x14ac:dyDescent="0.2">
      <c r="B17" s="17" t="s">
        <v>35</v>
      </c>
      <c r="C17" s="18"/>
      <c r="D17" s="18"/>
      <c r="E17" s="18"/>
      <c r="F17" s="18"/>
      <c r="G17" s="18"/>
      <c r="H17" s="18"/>
      <c r="I17" s="18"/>
      <c r="J17" s="18"/>
      <c r="K17" s="18"/>
      <c r="R17" s="7"/>
      <c r="S17" s="7"/>
      <c r="T17" s="7"/>
      <c r="U17" s="7"/>
      <c r="V17" s="7"/>
    </row>
    <row r="18" spans="2:35" s="3" customFormat="1" ht="23.25" customHeight="1" x14ac:dyDescent="0.2">
      <c r="B18" s="78" t="s">
        <v>52</v>
      </c>
      <c r="C18" s="109" t="s">
        <v>27</v>
      </c>
      <c r="D18" s="110"/>
      <c r="E18" s="111"/>
      <c r="F18" s="37" t="s">
        <v>28</v>
      </c>
      <c r="G18" s="37" t="s">
        <v>31</v>
      </c>
      <c r="H18" s="37" t="s">
        <v>30</v>
      </c>
      <c r="I18" s="37" t="s">
        <v>32</v>
      </c>
      <c r="J18" s="37" t="s">
        <v>33</v>
      </c>
      <c r="K18" s="42" t="s">
        <v>29</v>
      </c>
      <c r="L18" s="112" t="s">
        <v>9</v>
      </c>
      <c r="M18" s="113"/>
      <c r="N18" s="114"/>
      <c r="O18" s="121" t="s">
        <v>12</v>
      </c>
      <c r="P18" s="121" t="s">
        <v>13</v>
      </c>
      <c r="Q18" s="121" t="s">
        <v>14</v>
      </c>
      <c r="R18" s="121" t="s">
        <v>0</v>
      </c>
      <c r="S18" s="121" t="s">
        <v>1</v>
      </c>
      <c r="T18" s="123" t="s">
        <v>10</v>
      </c>
      <c r="U18" s="125" t="s">
        <v>44</v>
      </c>
      <c r="V18" s="125"/>
    </row>
    <row r="19" spans="2:35" s="3" customFormat="1" ht="18.75" x14ac:dyDescent="0.2">
      <c r="B19" s="19" t="s">
        <v>17</v>
      </c>
      <c r="C19" s="6" t="s">
        <v>2</v>
      </c>
      <c r="D19" s="6" t="s">
        <v>3</v>
      </c>
      <c r="E19" s="6" t="s">
        <v>4</v>
      </c>
      <c r="F19" s="20"/>
      <c r="G19" s="20"/>
      <c r="H19" s="20"/>
      <c r="I19" s="20"/>
      <c r="J19" s="20"/>
      <c r="K19" s="20"/>
      <c r="L19" s="21" t="s">
        <v>2</v>
      </c>
      <c r="M19" s="22" t="s">
        <v>3</v>
      </c>
      <c r="N19" s="23" t="s">
        <v>4</v>
      </c>
      <c r="O19" s="122"/>
      <c r="P19" s="122"/>
      <c r="Q19" s="122"/>
      <c r="R19" s="122"/>
      <c r="S19" s="122"/>
      <c r="T19" s="124"/>
      <c r="U19" s="77" t="s">
        <v>42</v>
      </c>
      <c r="V19" s="77" t="s">
        <v>43</v>
      </c>
    </row>
    <row r="20" spans="2:35" s="5" customFormat="1" ht="14.25" customHeight="1" x14ac:dyDescent="0.2">
      <c r="B20" s="35" t="s">
        <v>49</v>
      </c>
      <c r="C20" s="38">
        <v>0.13615250000000001</v>
      </c>
      <c r="D20" s="38">
        <v>0.1392941</v>
      </c>
      <c r="E20" s="38">
        <v>0.11580140000000001</v>
      </c>
      <c r="F20" s="38">
        <v>1.0672199999999998E-2</v>
      </c>
      <c r="G20" s="94">
        <v>4.0000000000000002E-4</v>
      </c>
      <c r="H20" s="94">
        <v>3.1189999999999998E-3</v>
      </c>
      <c r="I20" s="39"/>
      <c r="J20" s="142">
        <v>1.4999999999999999E-4</v>
      </c>
      <c r="K20" s="97">
        <v>-1.66E-3</v>
      </c>
      <c r="L20" s="72">
        <f>IF(C20&lt;&gt;"",C20+$F$20+$G$20+$H$20+$I$20+$J$20+$K$20,"disp. da 1/11/2024")</f>
        <v>0.14883370000000004</v>
      </c>
      <c r="M20" s="72">
        <f>IF(D20&lt;&gt;"",D20+$F$20+$G$20+$H$20+$I$20+$J$20+$K$20,"disp. da 1/11/2024")</f>
        <v>0.15197530000000004</v>
      </c>
      <c r="N20" s="72">
        <f>IF(E20&lt;&gt;"",E20+$F$20+$G$20+$H$20+$I$20+$J$20+$K$20,"disp. da 1/11/2024")</f>
        <v>0.12848260000000006</v>
      </c>
      <c r="O20" s="87">
        <f>0.065/100</f>
        <v>6.4999999999999997E-4</v>
      </c>
      <c r="P20" s="87">
        <f>1.057/100</f>
        <v>1.057E-2</v>
      </c>
      <c r="Q20" s="99" t="s">
        <v>11</v>
      </c>
      <c r="R20" s="87">
        <f>0.156/100</f>
        <v>1.56E-3</v>
      </c>
      <c r="S20" s="87">
        <f>0.007/100</f>
        <v>7.0000000000000007E-5</v>
      </c>
      <c r="T20" s="90">
        <f>O20+P20+R20+S20</f>
        <v>1.285E-2</v>
      </c>
      <c r="U20" s="90">
        <f>4.2632/100</f>
        <v>4.2632000000000003E-2</v>
      </c>
      <c r="V20" s="93">
        <f>0.5572/100</f>
        <v>5.5720000000000006E-3</v>
      </c>
      <c r="W20" s="3"/>
      <c r="X20" s="3"/>
      <c r="Y20" s="3"/>
      <c r="Z20" s="3"/>
      <c r="AA20" s="3"/>
      <c r="AB20" s="10"/>
      <c r="AC20" s="10"/>
      <c r="AD20" s="10"/>
      <c r="AE20" s="3"/>
      <c r="AF20" s="3"/>
      <c r="AG20" s="3"/>
      <c r="AH20" s="3"/>
      <c r="AI20" s="3"/>
    </row>
    <row r="21" spans="2:35" s="3" customFormat="1" ht="14.25" customHeight="1" x14ac:dyDescent="0.2">
      <c r="B21" s="36" t="s">
        <v>50</v>
      </c>
      <c r="C21" s="38">
        <v>0.16015120000000002</v>
      </c>
      <c r="D21" s="38">
        <v>0.15111250000000001</v>
      </c>
      <c r="E21" s="38">
        <v>0.12884630000000002</v>
      </c>
      <c r="F21" s="38">
        <v>1.0672199999999998E-2</v>
      </c>
      <c r="G21" s="95"/>
      <c r="H21" s="95"/>
      <c r="I21" s="79"/>
      <c r="J21" s="142"/>
      <c r="K21" s="97"/>
      <c r="L21" s="72">
        <f>IF(C21&lt;&gt;"",C21+$F$21+$G$20+$H$20+$I$20+$J$20+$K$20,"disp. da 1/12/2024")</f>
        <v>0.17283240000000005</v>
      </c>
      <c r="M21" s="72">
        <f>IF(D21&lt;&gt;"",D21+$F$21+$G$20+$H$20+$I$20+$J$20+$K$20,"disp. da 1/12/2024")</f>
        <v>0.16379370000000004</v>
      </c>
      <c r="N21" s="72">
        <f>IF(E21&lt;&gt;"",E21+$F$21+$G$20+$H$20+$I$20+$J$20+$K$20,"disp. da 1/12/2025")</f>
        <v>0.14152750000000006</v>
      </c>
      <c r="O21" s="88"/>
      <c r="P21" s="88"/>
      <c r="Q21" s="88"/>
      <c r="R21" s="88"/>
      <c r="S21" s="88"/>
      <c r="T21" s="91"/>
      <c r="U21" s="91"/>
      <c r="V21" s="93"/>
      <c r="AB21" s="10"/>
      <c r="AC21" s="10"/>
      <c r="AD21" s="10"/>
    </row>
    <row r="22" spans="2:35" s="3" customFormat="1" ht="14.25" customHeight="1" x14ac:dyDescent="0.2">
      <c r="B22" s="36" t="s">
        <v>51</v>
      </c>
      <c r="C22" s="38">
        <v>0.17431920000000001</v>
      </c>
      <c r="D22" s="38">
        <v>0.16052630000000001</v>
      </c>
      <c r="E22" s="38">
        <v>0.1273899</v>
      </c>
      <c r="F22" s="38">
        <v>1.5783900000000003E-2</v>
      </c>
      <c r="G22" s="96"/>
      <c r="H22" s="96"/>
      <c r="I22" s="40"/>
      <c r="J22" s="143"/>
      <c r="K22" s="98"/>
      <c r="L22" s="72">
        <f>IF(C22&lt;&gt;"",C22+$F$22+$G$20+$H$20+$I$20+$J$20+$K$20,"disp. da 1/01/2025")</f>
        <v>0.19211210000000006</v>
      </c>
      <c r="M22" s="72">
        <f>IF(D22&lt;&gt;"",D22+$F$22+$G$20+$H$20+$I$20+$J$20+$K$20,"disp. da 1/01/2025")</f>
        <v>0.17831920000000007</v>
      </c>
      <c r="N22" s="72">
        <f>IF(E22&lt;&gt;"",E22+$F$22+$G$20+$H$20+$I$20+$J$20+$K$20,"disp. da 1/01/2025")</f>
        <v>0.14518280000000006</v>
      </c>
      <c r="O22" s="89"/>
      <c r="P22" s="89"/>
      <c r="Q22" s="89"/>
      <c r="R22" s="89"/>
      <c r="S22" s="89"/>
      <c r="T22" s="92"/>
      <c r="U22" s="92"/>
      <c r="V22" s="93"/>
      <c r="AB22" s="10"/>
      <c r="AC22" s="10"/>
      <c r="AD22" s="10"/>
    </row>
    <row r="23" spans="2:35" s="3" customFormat="1" ht="14.25" customHeight="1" x14ac:dyDescent="0.2">
      <c r="B23" s="24" t="s">
        <v>18</v>
      </c>
      <c r="C23" s="41" t="s">
        <v>11</v>
      </c>
      <c r="D23" s="41" t="s">
        <v>11</v>
      </c>
      <c r="E23" s="41" t="s">
        <v>11</v>
      </c>
      <c r="F23" s="41" t="s">
        <v>11</v>
      </c>
      <c r="G23" s="41" t="s">
        <v>11</v>
      </c>
      <c r="H23" s="41" t="s">
        <v>11</v>
      </c>
      <c r="I23" s="49">
        <v>35</v>
      </c>
      <c r="J23" s="41" t="s">
        <v>11</v>
      </c>
      <c r="K23" s="41" t="s">
        <v>11</v>
      </c>
      <c r="L23" s="100">
        <f>I23</f>
        <v>35</v>
      </c>
      <c r="M23" s="101"/>
      <c r="N23" s="102"/>
      <c r="O23" s="50">
        <f>503.46/100</f>
        <v>5.0346000000000002</v>
      </c>
      <c r="P23" s="51" t="s">
        <v>11</v>
      </c>
      <c r="Q23" s="50">
        <f>2095.87/100</f>
        <v>20.9587</v>
      </c>
      <c r="R23" s="52" t="s">
        <v>11</v>
      </c>
      <c r="S23" s="53">
        <f>168.24/100</f>
        <v>1.6824000000000001</v>
      </c>
      <c r="T23" s="73">
        <f>O23+Q23+S23</f>
        <v>27.675700000000003</v>
      </c>
      <c r="U23" s="74">
        <f>1194.36/100</f>
        <v>11.943599999999998</v>
      </c>
      <c r="V23" s="74">
        <f>1108.56/100</f>
        <v>11.085599999999999</v>
      </c>
      <c r="AB23" s="10"/>
      <c r="AC23" s="10"/>
      <c r="AD23" s="10"/>
    </row>
    <row r="24" spans="2:35" s="3" customFormat="1" ht="14.25" customHeight="1" x14ac:dyDescent="0.2">
      <c r="B24" s="24" t="s">
        <v>19</v>
      </c>
      <c r="C24" s="41" t="s">
        <v>11</v>
      </c>
      <c r="D24" s="41" t="s">
        <v>11</v>
      </c>
      <c r="E24" s="41" t="s">
        <v>11</v>
      </c>
      <c r="F24" s="41" t="s">
        <v>11</v>
      </c>
      <c r="G24" s="41" t="s">
        <v>11</v>
      </c>
      <c r="H24" s="41" t="s">
        <v>11</v>
      </c>
      <c r="I24" s="41"/>
      <c r="J24" s="41" t="s">
        <v>11</v>
      </c>
      <c r="K24" s="41" t="s">
        <v>11</v>
      </c>
      <c r="L24" s="103" t="s">
        <v>11</v>
      </c>
      <c r="M24" s="104"/>
      <c r="N24" s="105"/>
      <c r="O24" s="50">
        <f>3135.86/100</f>
        <v>31.358600000000003</v>
      </c>
      <c r="P24" s="51" t="s">
        <v>11</v>
      </c>
      <c r="Q24" s="52" t="s">
        <v>11</v>
      </c>
      <c r="R24" s="52" t="s">
        <v>11</v>
      </c>
      <c r="S24" s="52">
        <f>0/100</f>
        <v>0</v>
      </c>
      <c r="T24" s="73">
        <f>O24</f>
        <v>31.358600000000003</v>
      </c>
      <c r="U24" s="74">
        <f>1465.08/100</f>
        <v>14.650799999999998</v>
      </c>
      <c r="V24" s="74">
        <f>1359.72/100</f>
        <v>13.597200000000001</v>
      </c>
      <c r="AB24" s="10"/>
      <c r="AC24" s="10"/>
      <c r="AD24" s="10"/>
    </row>
    <row r="25" spans="2:35" ht="25.5" customHeight="1" x14ac:dyDescent="0.2">
      <c r="B25" s="25" t="s">
        <v>15</v>
      </c>
      <c r="C25" s="12"/>
      <c r="D25" s="12"/>
      <c r="E25" s="12"/>
      <c r="F25" s="12"/>
      <c r="G25" s="12"/>
      <c r="H25" s="12"/>
      <c r="I25" s="12"/>
      <c r="J25" s="12"/>
      <c r="K25" s="12"/>
      <c r="L25" s="106" t="s">
        <v>16</v>
      </c>
      <c r="M25" s="107"/>
      <c r="N25" s="107"/>
      <c r="O25" s="107"/>
      <c r="P25" s="107"/>
      <c r="Q25" s="107"/>
      <c r="R25" s="107"/>
      <c r="S25" s="107"/>
      <c r="T25" s="107"/>
      <c r="U25" s="107"/>
      <c r="V25" s="108"/>
    </row>
    <row r="27" spans="2:35" ht="14.25" customHeight="1" x14ac:dyDescent="0.2">
      <c r="B27" s="17" t="s">
        <v>36</v>
      </c>
      <c r="C27" s="18"/>
      <c r="D27" s="18"/>
      <c r="E27" s="18"/>
      <c r="F27" s="18"/>
      <c r="G27" s="18"/>
      <c r="H27" s="18"/>
      <c r="I27" s="18"/>
      <c r="J27" s="18"/>
      <c r="K27" s="18"/>
    </row>
    <row r="28" spans="2:35" s="3" customFormat="1" ht="23.25" customHeight="1" x14ac:dyDescent="0.2">
      <c r="B28" s="78" t="str">
        <f>B18</f>
        <v>1 Ottobre - 31 Dicembre  2024</v>
      </c>
      <c r="C28" s="109" t="s">
        <v>27</v>
      </c>
      <c r="D28" s="110"/>
      <c r="E28" s="111"/>
      <c r="F28" s="37" t="s">
        <v>28</v>
      </c>
      <c r="G28" s="37" t="s">
        <v>31</v>
      </c>
      <c r="H28" s="37" t="s">
        <v>30</v>
      </c>
      <c r="I28" s="37" t="s">
        <v>32</v>
      </c>
      <c r="J28" s="37" t="s">
        <v>33</v>
      </c>
      <c r="K28" s="42" t="s">
        <v>29</v>
      </c>
      <c r="L28" s="112" t="s">
        <v>9</v>
      </c>
      <c r="M28" s="113"/>
      <c r="N28" s="114"/>
      <c r="O28" s="115" t="s">
        <v>12</v>
      </c>
      <c r="P28" s="115" t="s">
        <v>13</v>
      </c>
      <c r="Q28" s="115" t="s">
        <v>14</v>
      </c>
      <c r="R28" s="138" t="s">
        <v>0</v>
      </c>
      <c r="S28" s="138" t="s">
        <v>1</v>
      </c>
      <c r="T28" s="140" t="s">
        <v>10</v>
      </c>
      <c r="U28" s="81" t="s">
        <v>44</v>
      </c>
      <c r="V28" s="82"/>
    </row>
    <row r="29" spans="2:35" s="3" customFormat="1" ht="18.75" x14ac:dyDescent="0.2">
      <c r="B29" s="19" t="s">
        <v>17</v>
      </c>
      <c r="C29" s="6" t="s">
        <v>2</v>
      </c>
      <c r="D29" s="6" t="s">
        <v>3</v>
      </c>
      <c r="E29" s="6" t="s">
        <v>4</v>
      </c>
      <c r="F29" s="20"/>
      <c r="G29" s="20"/>
      <c r="H29" s="20"/>
      <c r="I29" s="20"/>
      <c r="J29" s="20"/>
      <c r="K29" s="20"/>
      <c r="L29" s="21" t="s">
        <v>2</v>
      </c>
      <c r="M29" s="22" t="s">
        <v>3</v>
      </c>
      <c r="N29" s="23" t="s">
        <v>4</v>
      </c>
      <c r="O29" s="116"/>
      <c r="P29" s="116"/>
      <c r="Q29" s="116"/>
      <c r="R29" s="139"/>
      <c r="S29" s="139"/>
      <c r="T29" s="141"/>
      <c r="U29" s="77" t="s">
        <v>42</v>
      </c>
      <c r="V29" s="77" t="s">
        <v>43</v>
      </c>
    </row>
    <row r="30" spans="2:35" s="5" customFormat="1" ht="14.25" customHeight="1" x14ac:dyDescent="0.2">
      <c r="B30" s="35" t="str">
        <f>B20</f>
        <v>Ottobre 2024</v>
      </c>
      <c r="C30" s="54">
        <f>IF(C20=0,"",C20)</f>
        <v>0.13615250000000001</v>
      </c>
      <c r="D30" s="54">
        <f t="shared" ref="D30:E30" si="0">IF(D20=0,"",D20)</f>
        <v>0.1392941</v>
      </c>
      <c r="E30" s="54">
        <f t="shared" si="0"/>
        <v>0.11580140000000001</v>
      </c>
      <c r="F30" s="54">
        <f t="shared" ref="F30:K30" si="1">F20</f>
        <v>1.0672199999999998E-2</v>
      </c>
      <c r="G30" s="144">
        <f t="shared" si="1"/>
        <v>4.0000000000000002E-4</v>
      </c>
      <c r="H30" s="144">
        <f t="shared" si="1"/>
        <v>3.1189999999999998E-3</v>
      </c>
      <c r="I30" s="55"/>
      <c r="J30" s="156">
        <f t="shared" si="1"/>
        <v>1.4999999999999999E-4</v>
      </c>
      <c r="K30" s="147">
        <f t="shared" si="1"/>
        <v>-1.66E-3</v>
      </c>
      <c r="L30" s="68">
        <f>IF(C30&lt;&gt;"",C30+$F$30+$G$30+$H$30+$I$30+$J$30+$K$30,L20)</f>
        <v>0.14883370000000004</v>
      </c>
      <c r="M30" s="68">
        <f>IF(D30&lt;&gt;"",D30+$F$30+$G$30+$H$30+$I$30+$J$30+$K$30,M20)</f>
        <v>0.15197530000000004</v>
      </c>
      <c r="N30" s="68">
        <f>IF(E30&lt;&gt;"",E30+$F$30+$G$30+$H$30+$I$30+$J$30+$K$30,N20)</f>
        <v>0.12848260000000006</v>
      </c>
      <c r="O30" s="149">
        <f>0.065/100</f>
        <v>6.4999999999999997E-4</v>
      </c>
      <c r="P30" s="149">
        <f>$P$20</f>
        <v>1.057E-2</v>
      </c>
      <c r="Q30" s="152" t="s">
        <v>11</v>
      </c>
      <c r="R30" s="149">
        <f>$R$20</f>
        <v>1.56E-3</v>
      </c>
      <c r="S30" s="149">
        <f>$S$20</f>
        <v>7.0000000000000007E-5</v>
      </c>
      <c r="T30" s="153">
        <f>O30+P30+R30+S30</f>
        <v>1.285E-2</v>
      </c>
      <c r="U30" s="153">
        <f>U20</f>
        <v>4.2632000000000003E-2</v>
      </c>
      <c r="V30" s="153">
        <f>V20</f>
        <v>5.5720000000000006E-3</v>
      </c>
      <c r="W30" s="3"/>
      <c r="X30" s="3"/>
      <c r="Y30" s="3"/>
      <c r="Z30" s="3"/>
      <c r="AA30" s="10"/>
      <c r="AB30" s="10"/>
      <c r="AC30" s="10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5" t="str">
        <f>B21</f>
        <v>Novembre 2024</v>
      </c>
      <c r="C31" s="54">
        <f t="shared" ref="C31:E31" si="2">IF(C21=0,"",C21)</f>
        <v>0.16015120000000002</v>
      </c>
      <c r="D31" s="54">
        <f t="shared" si="2"/>
        <v>0.15111250000000001</v>
      </c>
      <c r="E31" s="54">
        <f t="shared" si="2"/>
        <v>0.12884630000000002</v>
      </c>
      <c r="F31" s="54">
        <f t="shared" ref="F31:K31" si="3">F21</f>
        <v>1.0672199999999998E-2</v>
      </c>
      <c r="G31" s="145">
        <f t="shared" si="3"/>
        <v>0</v>
      </c>
      <c r="H31" s="145">
        <f t="shared" si="3"/>
        <v>0</v>
      </c>
      <c r="I31" s="56"/>
      <c r="J31" s="156"/>
      <c r="K31" s="147">
        <f t="shared" si="3"/>
        <v>0</v>
      </c>
      <c r="L31" s="68">
        <f>IF(C31&lt;&gt;"",C31+$F$31+$G$30+$H$30+$I$30+$J$30+$K$30,L21)</f>
        <v>0.17283240000000005</v>
      </c>
      <c r="M31" s="68">
        <f>IF(D31&lt;&gt;"",D31+$F$31+$G$30+$H$30+$I$30+$J$30+$K$30,M21)</f>
        <v>0.16379370000000004</v>
      </c>
      <c r="N31" s="68">
        <f>IF(E31&lt;&gt;"",E31+$F$31+$G$30+$H$30+$I$30+$J$30+$K$30,N21)</f>
        <v>0.14152750000000006</v>
      </c>
      <c r="O31" s="150"/>
      <c r="P31" s="150"/>
      <c r="Q31" s="150"/>
      <c r="R31" s="150"/>
      <c r="S31" s="150"/>
      <c r="T31" s="154"/>
      <c r="U31" s="154"/>
      <c r="V31" s="154"/>
      <c r="AA31" s="10"/>
      <c r="AB31" s="10"/>
      <c r="AC31" s="10"/>
    </row>
    <row r="32" spans="2:35" s="3" customFormat="1" ht="14.25" customHeight="1" x14ac:dyDescent="0.2">
      <c r="B32" s="35" t="str">
        <f>B22</f>
        <v>Dicembre 2024</v>
      </c>
      <c r="C32" s="54">
        <f t="shared" ref="C32:E32" si="4">IF(C22=0,"",C22)</f>
        <v>0.17431920000000001</v>
      </c>
      <c r="D32" s="54">
        <f t="shared" si="4"/>
        <v>0.16052630000000001</v>
      </c>
      <c r="E32" s="54">
        <f t="shared" si="4"/>
        <v>0.1273899</v>
      </c>
      <c r="F32" s="54">
        <f t="shared" ref="F32:K32" si="5">F22</f>
        <v>1.5783900000000003E-2</v>
      </c>
      <c r="G32" s="146">
        <f t="shared" si="5"/>
        <v>0</v>
      </c>
      <c r="H32" s="146">
        <f t="shared" si="5"/>
        <v>0</v>
      </c>
      <c r="I32" s="57"/>
      <c r="J32" s="157"/>
      <c r="K32" s="148">
        <f t="shared" si="5"/>
        <v>0</v>
      </c>
      <c r="L32" s="68">
        <f>IF(C32&lt;&gt;"",C32+$F$32+$G$30+$H$30+$I$30+$J$30+$K$30,L22)</f>
        <v>0.19211210000000006</v>
      </c>
      <c r="M32" s="68">
        <f>IF(D32&lt;&gt;"",D32+$F$32+$G$30+$H$30+$I$30+$J$30+$K$30,M22)</f>
        <v>0.17831920000000007</v>
      </c>
      <c r="N32" s="68">
        <f>IF(E32&lt;&gt;"",E32+$F$32+$G$30+$H$30+$I$30+$J$30+$K$30,N22)</f>
        <v>0.14518280000000006</v>
      </c>
      <c r="O32" s="151"/>
      <c r="P32" s="151"/>
      <c r="Q32" s="151"/>
      <c r="R32" s="151"/>
      <c r="S32" s="151"/>
      <c r="T32" s="155"/>
      <c r="U32" s="155"/>
      <c r="V32" s="155"/>
      <c r="AA32" s="10"/>
      <c r="AB32" s="10"/>
      <c r="AC32" s="10"/>
    </row>
    <row r="33" spans="2:35" s="3" customFormat="1" ht="14.25" customHeight="1" x14ac:dyDescent="0.2">
      <c r="B33" s="24" t="s">
        <v>18</v>
      </c>
      <c r="C33" s="58" t="str">
        <f t="shared" ref="C33:K33" si="6">C23</f>
        <v xml:space="preserve">- </v>
      </c>
      <c r="D33" s="58" t="str">
        <f t="shared" si="6"/>
        <v xml:space="preserve">- </v>
      </c>
      <c r="E33" s="58" t="str">
        <f t="shared" si="6"/>
        <v xml:space="preserve">- </v>
      </c>
      <c r="F33" s="58" t="str">
        <f t="shared" si="6"/>
        <v xml:space="preserve">- </v>
      </c>
      <c r="G33" s="59" t="str">
        <f t="shared" si="6"/>
        <v xml:space="preserve">- </v>
      </c>
      <c r="H33" s="59" t="str">
        <f t="shared" si="6"/>
        <v xml:space="preserve">- </v>
      </c>
      <c r="I33" s="59">
        <f t="shared" si="6"/>
        <v>35</v>
      </c>
      <c r="J33" s="58" t="str">
        <f t="shared" ref="J33" si="7">J23</f>
        <v xml:space="preserve">- </v>
      </c>
      <c r="K33" s="58" t="str">
        <f t="shared" si="6"/>
        <v xml:space="preserve">- </v>
      </c>
      <c r="L33" s="158">
        <f>I33</f>
        <v>35</v>
      </c>
      <c r="M33" s="159"/>
      <c r="N33" s="160"/>
      <c r="O33" s="60">
        <f>503.46/100</f>
        <v>5.0346000000000002</v>
      </c>
      <c r="P33" s="61" t="s">
        <v>11</v>
      </c>
      <c r="Q33" s="60">
        <f>$Q$23</f>
        <v>20.9587</v>
      </c>
      <c r="R33" s="58" t="s">
        <v>11</v>
      </c>
      <c r="S33" s="62">
        <f>$S$23</f>
        <v>1.6824000000000001</v>
      </c>
      <c r="T33" s="69">
        <f>O33+Q33+S33</f>
        <v>27.675700000000003</v>
      </c>
      <c r="U33" s="69">
        <f>U23</f>
        <v>11.943599999999998</v>
      </c>
      <c r="V33" s="69">
        <f>V23</f>
        <v>11.085599999999999</v>
      </c>
      <c r="AA33" s="10"/>
      <c r="AB33" s="10"/>
      <c r="AC33" s="10"/>
    </row>
    <row r="34" spans="2:35" s="3" customFormat="1" ht="14.25" customHeight="1" x14ac:dyDescent="0.2">
      <c r="B34" s="24" t="s">
        <v>19</v>
      </c>
      <c r="C34" s="58" t="str">
        <f t="shared" ref="C34:K34" si="8">C24</f>
        <v xml:space="preserve">- </v>
      </c>
      <c r="D34" s="58" t="str">
        <f t="shared" si="8"/>
        <v xml:space="preserve">- </v>
      </c>
      <c r="E34" s="58" t="str">
        <f t="shared" si="8"/>
        <v xml:space="preserve">- </v>
      </c>
      <c r="F34" s="58" t="str">
        <f t="shared" si="8"/>
        <v xml:space="preserve">- </v>
      </c>
      <c r="G34" s="58" t="str">
        <f t="shared" si="8"/>
        <v xml:space="preserve">- </v>
      </c>
      <c r="H34" s="58" t="str">
        <f t="shared" si="8"/>
        <v xml:space="preserve">- </v>
      </c>
      <c r="I34" s="58">
        <f t="shared" si="8"/>
        <v>0</v>
      </c>
      <c r="J34" s="58" t="str">
        <f t="shared" ref="J34" si="9">J24</f>
        <v xml:space="preserve">- </v>
      </c>
      <c r="K34" s="58" t="str">
        <f t="shared" si="8"/>
        <v xml:space="preserve">- </v>
      </c>
      <c r="L34" s="161" t="s">
        <v>11</v>
      </c>
      <c r="M34" s="162"/>
      <c r="N34" s="163"/>
      <c r="O34" s="63">
        <f>2969.94/100</f>
        <v>29.699400000000001</v>
      </c>
      <c r="P34" s="61" t="s">
        <v>11</v>
      </c>
      <c r="Q34" s="58" t="s">
        <v>11</v>
      </c>
      <c r="R34" s="58" t="s">
        <v>11</v>
      </c>
      <c r="S34" s="58">
        <f>$S$24</f>
        <v>0</v>
      </c>
      <c r="T34" s="69">
        <f>O34</f>
        <v>29.699400000000001</v>
      </c>
      <c r="U34" s="70">
        <f>1387.44/100</f>
        <v>13.874400000000001</v>
      </c>
      <c r="V34" s="71">
        <f>1287.84/100</f>
        <v>12.878399999999999</v>
      </c>
      <c r="AA34" s="10"/>
      <c r="AB34" s="10"/>
      <c r="AC34" s="10"/>
    </row>
    <row r="35" spans="2:35" ht="25.5" customHeight="1" x14ac:dyDescent="0.2">
      <c r="B35" s="25" t="s">
        <v>15</v>
      </c>
      <c r="C35" s="12"/>
      <c r="D35" s="12"/>
      <c r="E35" s="12"/>
      <c r="F35" s="12"/>
      <c r="G35" s="12"/>
      <c r="H35" s="12"/>
      <c r="I35" s="12"/>
      <c r="J35" s="12"/>
      <c r="K35" s="12"/>
      <c r="L35" s="106" t="s">
        <v>16</v>
      </c>
      <c r="M35" s="107"/>
      <c r="N35" s="107"/>
      <c r="O35" s="107"/>
      <c r="P35" s="107"/>
      <c r="Q35" s="107"/>
      <c r="R35" s="107"/>
      <c r="S35" s="107"/>
      <c r="T35" s="107"/>
      <c r="U35" s="107"/>
      <c r="V35" s="108"/>
    </row>
    <row r="37" spans="2:35" ht="14.25" customHeight="1" x14ac:dyDescent="0.2">
      <c r="B37" s="17" t="s">
        <v>37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2:35" s="3" customFormat="1" ht="23.25" customHeight="1" x14ac:dyDescent="0.2">
      <c r="B38" s="78" t="str">
        <f>B28</f>
        <v>1 Ottobre - 31 Dicembre  2024</v>
      </c>
      <c r="C38" s="109" t="s">
        <v>27</v>
      </c>
      <c r="D38" s="110"/>
      <c r="E38" s="111"/>
      <c r="F38" s="37" t="s">
        <v>28</v>
      </c>
      <c r="G38" s="37" t="s">
        <v>31</v>
      </c>
      <c r="H38" s="37" t="s">
        <v>30</v>
      </c>
      <c r="I38" s="37" t="s">
        <v>32</v>
      </c>
      <c r="J38" s="37" t="s">
        <v>33</v>
      </c>
      <c r="K38" s="42" t="s">
        <v>29</v>
      </c>
      <c r="L38" s="112" t="s">
        <v>9</v>
      </c>
      <c r="M38" s="113"/>
      <c r="N38" s="114"/>
      <c r="O38" s="115" t="s">
        <v>12</v>
      </c>
      <c r="P38" s="115" t="s">
        <v>13</v>
      </c>
      <c r="Q38" s="115" t="s">
        <v>14</v>
      </c>
      <c r="R38" s="138" t="s">
        <v>0</v>
      </c>
      <c r="S38" s="138" t="s">
        <v>1</v>
      </c>
      <c r="T38" s="140" t="s">
        <v>10</v>
      </c>
      <c r="U38" s="81" t="s">
        <v>44</v>
      </c>
      <c r="V38" s="82"/>
    </row>
    <row r="39" spans="2:35" s="3" customFormat="1" ht="18.75" x14ac:dyDescent="0.2">
      <c r="B39" s="19" t="s">
        <v>17</v>
      </c>
      <c r="C39" s="6" t="s">
        <v>2</v>
      </c>
      <c r="D39" s="6" t="s">
        <v>3</v>
      </c>
      <c r="E39" s="6" t="s">
        <v>4</v>
      </c>
      <c r="F39" s="20"/>
      <c r="G39" s="20"/>
      <c r="H39" s="20"/>
      <c r="I39" s="20"/>
      <c r="J39" s="20"/>
      <c r="K39" s="20"/>
      <c r="L39" s="21" t="s">
        <v>2</v>
      </c>
      <c r="M39" s="22" t="s">
        <v>3</v>
      </c>
      <c r="N39" s="23" t="s">
        <v>4</v>
      </c>
      <c r="O39" s="116"/>
      <c r="P39" s="116"/>
      <c r="Q39" s="116"/>
      <c r="R39" s="139"/>
      <c r="S39" s="139"/>
      <c r="T39" s="141"/>
      <c r="U39" s="77" t="s">
        <v>42</v>
      </c>
      <c r="V39" s="77" t="s">
        <v>43</v>
      </c>
    </row>
    <row r="40" spans="2:35" s="5" customFormat="1" ht="14.25" customHeight="1" x14ac:dyDescent="0.2">
      <c r="B40" s="35" t="str">
        <f>B30</f>
        <v>Ottobre 2024</v>
      </c>
      <c r="C40" s="54">
        <f>IF(C30=0,"",C30)</f>
        <v>0.13615250000000001</v>
      </c>
      <c r="D40" s="54">
        <f t="shared" ref="D40:E40" si="10">IF(D30=0,"",D30)</f>
        <v>0.1392941</v>
      </c>
      <c r="E40" s="54">
        <f t="shared" si="10"/>
        <v>0.11580140000000001</v>
      </c>
      <c r="F40" s="54">
        <f t="shared" ref="F40:H40" si="11">F30</f>
        <v>1.0672199999999998E-2</v>
      </c>
      <c r="G40" s="144">
        <f t="shared" si="11"/>
        <v>4.0000000000000002E-4</v>
      </c>
      <c r="H40" s="144">
        <f t="shared" si="11"/>
        <v>3.1189999999999998E-3</v>
      </c>
      <c r="I40" s="55"/>
      <c r="J40" s="156">
        <f t="shared" ref="J40:K40" si="12">J30</f>
        <v>1.4999999999999999E-4</v>
      </c>
      <c r="K40" s="147">
        <f t="shared" si="12"/>
        <v>-1.66E-3</v>
      </c>
      <c r="L40" s="68">
        <f>IF(C40&lt;&gt;"",C40+$F$40+$G$40+$H$40+$I$40+$J$40+$K$40,L20)</f>
        <v>0.14883370000000004</v>
      </c>
      <c r="M40" s="68">
        <f t="shared" ref="M40:N40" si="13">IF(D40&lt;&gt;"",D40+$F$40+$G$40+$H$40+$I$40+$J$40+$K$40,M20)</f>
        <v>0.15197530000000004</v>
      </c>
      <c r="N40" s="68">
        <f t="shared" si="13"/>
        <v>0.12848260000000006</v>
      </c>
      <c r="O40" s="149">
        <f>0.065/100</f>
        <v>6.4999999999999997E-4</v>
      </c>
      <c r="P40" s="149">
        <f>$P$20</f>
        <v>1.057E-2</v>
      </c>
      <c r="Q40" s="152" t="s">
        <v>11</v>
      </c>
      <c r="R40" s="149">
        <f>$R$20</f>
        <v>1.56E-3</v>
      </c>
      <c r="S40" s="149">
        <f>$S$20</f>
        <v>7.0000000000000007E-5</v>
      </c>
      <c r="T40" s="153">
        <f>O40+P40+R40+S40</f>
        <v>1.285E-2</v>
      </c>
      <c r="U40" s="153">
        <f>U30</f>
        <v>4.2632000000000003E-2</v>
      </c>
      <c r="V40" s="153">
        <f>V30</f>
        <v>5.5720000000000006E-3</v>
      </c>
      <c r="W40" s="3"/>
      <c r="X40" s="3"/>
      <c r="Y40" s="3"/>
      <c r="Z40" s="3"/>
      <c r="AA40" s="11"/>
      <c r="AB40" s="11"/>
      <c r="AC40" s="11"/>
      <c r="AD40" s="3"/>
      <c r="AE40" s="3"/>
      <c r="AF40" s="3"/>
      <c r="AG40" s="3"/>
      <c r="AH40" s="3"/>
      <c r="AI40" s="3"/>
    </row>
    <row r="41" spans="2:35" s="3" customFormat="1" ht="14.25" customHeight="1" x14ac:dyDescent="0.2">
      <c r="B41" s="35" t="str">
        <f>B31</f>
        <v>Novembre 2024</v>
      </c>
      <c r="C41" s="54">
        <f t="shared" ref="C41:E41" si="14">IF(C31=0,"",C31)</f>
        <v>0.16015120000000002</v>
      </c>
      <c r="D41" s="54">
        <f t="shared" si="14"/>
        <v>0.15111250000000001</v>
      </c>
      <c r="E41" s="54">
        <f t="shared" si="14"/>
        <v>0.12884630000000002</v>
      </c>
      <c r="F41" s="54">
        <f t="shared" ref="F41:H41" si="15">F31</f>
        <v>1.0672199999999998E-2</v>
      </c>
      <c r="G41" s="145">
        <f t="shared" si="15"/>
        <v>0</v>
      </c>
      <c r="H41" s="145">
        <f t="shared" si="15"/>
        <v>0</v>
      </c>
      <c r="I41" s="56"/>
      <c r="J41" s="156"/>
      <c r="K41" s="147">
        <f t="shared" ref="K41" si="16">K31</f>
        <v>0</v>
      </c>
      <c r="L41" s="68">
        <f>IF(C41&lt;&gt;"",C41+$F$41+$G$40+$H$40+$I$40+$J$40+$K$40,L21)</f>
        <v>0.17283240000000005</v>
      </c>
      <c r="M41" s="68">
        <f t="shared" ref="M41:N41" si="17">IF(D41&lt;&gt;"",D41+$F$41+$G$40+$H$40+$I$40+$J$40+$K$40,M21)</f>
        <v>0.16379370000000004</v>
      </c>
      <c r="N41" s="68">
        <f t="shared" si="17"/>
        <v>0.14152750000000006</v>
      </c>
      <c r="O41" s="150"/>
      <c r="P41" s="150"/>
      <c r="Q41" s="150"/>
      <c r="R41" s="150"/>
      <c r="S41" s="150"/>
      <c r="T41" s="154"/>
      <c r="U41" s="154"/>
      <c r="V41" s="154"/>
      <c r="AA41" s="11"/>
      <c r="AB41" s="11"/>
      <c r="AC41" s="11"/>
    </row>
    <row r="42" spans="2:35" s="3" customFormat="1" ht="14.25" customHeight="1" x14ac:dyDescent="0.2">
      <c r="B42" s="35" t="str">
        <f>B32</f>
        <v>Dicembre 2024</v>
      </c>
      <c r="C42" s="54">
        <f t="shared" ref="C42:E42" si="18">IF(C32=0,"",C32)</f>
        <v>0.17431920000000001</v>
      </c>
      <c r="D42" s="54">
        <f t="shared" si="18"/>
        <v>0.16052630000000001</v>
      </c>
      <c r="E42" s="54">
        <f t="shared" si="18"/>
        <v>0.1273899</v>
      </c>
      <c r="F42" s="54">
        <f t="shared" ref="F42:H42" si="19">F32</f>
        <v>1.5783900000000003E-2</v>
      </c>
      <c r="G42" s="146">
        <f t="shared" si="19"/>
        <v>0</v>
      </c>
      <c r="H42" s="146">
        <f t="shared" si="19"/>
        <v>0</v>
      </c>
      <c r="I42" s="57"/>
      <c r="J42" s="157"/>
      <c r="K42" s="148">
        <f t="shared" ref="K42" si="20">K32</f>
        <v>0</v>
      </c>
      <c r="L42" s="68">
        <f>IF(C42&lt;&gt;"",C42+$F$42+$G$40+$H$40+$I$40+$J$40+$K$40,L22)</f>
        <v>0.19211210000000006</v>
      </c>
      <c r="M42" s="68">
        <f t="shared" ref="M42:N42" si="21">IF(D42&lt;&gt;"",D42+$F$42+$G$40+$H$40+$I$40+$J$40+$K$40,M22)</f>
        <v>0.17831920000000007</v>
      </c>
      <c r="N42" s="68">
        <f t="shared" si="21"/>
        <v>0.14518280000000006</v>
      </c>
      <c r="O42" s="151"/>
      <c r="P42" s="151"/>
      <c r="Q42" s="151"/>
      <c r="R42" s="151"/>
      <c r="S42" s="151"/>
      <c r="T42" s="155"/>
      <c r="U42" s="155"/>
      <c r="V42" s="155"/>
      <c r="AA42" s="11"/>
      <c r="AB42" s="11"/>
      <c r="AC42" s="11"/>
    </row>
    <row r="43" spans="2:35" s="3" customFormat="1" ht="14.25" customHeight="1" x14ac:dyDescent="0.2">
      <c r="B43" s="24" t="s">
        <v>18</v>
      </c>
      <c r="C43" s="58" t="str">
        <f t="shared" ref="C43:K44" si="22">C33</f>
        <v xml:space="preserve">- </v>
      </c>
      <c r="D43" s="58" t="str">
        <f t="shared" si="22"/>
        <v xml:space="preserve">- </v>
      </c>
      <c r="E43" s="58" t="str">
        <f t="shared" si="22"/>
        <v xml:space="preserve">- </v>
      </c>
      <c r="F43" s="58" t="str">
        <f t="shared" si="22"/>
        <v xml:space="preserve">- </v>
      </c>
      <c r="G43" s="59" t="str">
        <f t="shared" si="22"/>
        <v xml:space="preserve">- </v>
      </c>
      <c r="H43" s="59" t="str">
        <f t="shared" si="22"/>
        <v xml:space="preserve">- </v>
      </c>
      <c r="I43" s="59">
        <f t="shared" si="22"/>
        <v>35</v>
      </c>
      <c r="J43" s="58" t="str">
        <f t="shared" si="22"/>
        <v xml:space="preserve">- </v>
      </c>
      <c r="K43" s="58" t="str">
        <f t="shared" si="22"/>
        <v xml:space="preserve">- </v>
      </c>
      <c r="L43" s="158">
        <f>I43</f>
        <v>35</v>
      </c>
      <c r="M43" s="159"/>
      <c r="N43" s="160"/>
      <c r="O43" s="60">
        <f>503.46/100</f>
        <v>5.0346000000000002</v>
      </c>
      <c r="P43" s="61" t="s">
        <v>11</v>
      </c>
      <c r="Q43" s="60">
        <f>$Q$23</f>
        <v>20.9587</v>
      </c>
      <c r="R43" s="58" t="s">
        <v>11</v>
      </c>
      <c r="S43" s="62">
        <f>$S$23</f>
        <v>1.6824000000000001</v>
      </c>
      <c r="T43" s="69">
        <f>O43+Q43+S43</f>
        <v>27.675700000000003</v>
      </c>
      <c r="U43" s="69">
        <f>U23</f>
        <v>11.943599999999998</v>
      </c>
      <c r="V43" s="69">
        <f>V23</f>
        <v>11.085599999999999</v>
      </c>
      <c r="AA43" s="11"/>
      <c r="AB43" s="11"/>
      <c r="AC43" s="11"/>
    </row>
    <row r="44" spans="2:35" s="3" customFormat="1" ht="14.25" customHeight="1" x14ac:dyDescent="0.2">
      <c r="B44" s="24" t="s">
        <v>19</v>
      </c>
      <c r="C44" s="58" t="str">
        <f t="shared" ref="C44:I44" si="23">C34</f>
        <v xml:space="preserve">- </v>
      </c>
      <c r="D44" s="58" t="str">
        <f t="shared" si="23"/>
        <v xml:space="preserve">- </v>
      </c>
      <c r="E44" s="58" t="str">
        <f t="shared" si="23"/>
        <v xml:space="preserve">- </v>
      </c>
      <c r="F44" s="58" t="str">
        <f t="shared" si="23"/>
        <v xml:space="preserve">- </v>
      </c>
      <c r="G44" s="58" t="str">
        <f t="shared" si="23"/>
        <v xml:space="preserve">- </v>
      </c>
      <c r="H44" s="58" t="str">
        <f t="shared" si="23"/>
        <v xml:space="preserve">- </v>
      </c>
      <c r="I44" s="58">
        <f t="shared" si="23"/>
        <v>0</v>
      </c>
      <c r="J44" s="58" t="str">
        <f t="shared" si="22"/>
        <v xml:space="preserve">- </v>
      </c>
      <c r="K44" s="58" t="str">
        <f t="shared" si="22"/>
        <v xml:space="preserve">- </v>
      </c>
      <c r="L44" s="161" t="s">
        <v>11</v>
      </c>
      <c r="M44" s="162"/>
      <c r="N44" s="163"/>
      <c r="O44" s="60">
        <f>3301.77/100</f>
        <v>33.017699999999998</v>
      </c>
      <c r="P44" s="61" t="s">
        <v>11</v>
      </c>
      <c r="Q44" s="58" t="s">
        <v>11</v>
      </c>
      <c r="R44" s="58" t="s">
        <v>11</v>
      </c>
      <c r="S44" s="58">
        <f>$S$24</f>
        <v>0</v>
      </c>
      <c r="T44" s="69">
        <f>O44</f>
        <v>33.017699999999998</v>
      </c>
      <c r="U44" s="70">
        <f>1542.48/100</f>
        <v>15.424799999999999</v>
      </c>
      <c r="V44" s="71">
        <f>1431.72/100</f>
        <v>14.3172</v>
      </c>
      <c r="AA44" s="11"/>
      <c r="AB44" s="11"/>
      <c r="AC44" s="11"/>
    </row>
    <row r="45" spans="2:35" ht="25.5" customHeight="1" x14ac:dyDescent="0.2">
      <c r="B45" s="25" t="s">
        <v>15</v>
      </c>
      <c r="C45" s="12"/>
      <c r="D45" s="12"/>
      <c r="E45" s="12"/>
      <c r="F45" s="12"/>
      <c r="G45" s="12"/>
      <c r="H45" s="12"/>
      <c r="I45" s="12"/>
      <c r="J45" s="12"/>
      <c r="K45" s="12"/>
      <c r="L45" s="106" t="s">
        <v>16</v>
      </c>
      <c r="M45" s="107"/>
      <c r="N45" s="107"/>
      <c r="O45" s="107"/>
      <c r="P45" s="107"/>
      <c r="Q45" s="107"/>
      <c r="R45" s="107"/>
      <c r="S45" s="107"/>
      <c r="T45" s="107"/>
      <c r="U45" s="107"/>
      <c r="V45" s="108"/>
    </row>
    <row r="47" spans="2:35" ht="14.25" customHeight="1" x14ac:dyDescent="0.2">
      <c r="B47" s="17" t="s">
        <v>38</v>
      </c>
      <c r="C47" s="18"/>
      <c r="D47" s="18"/>
      <c r="E47" s="18"/>
      <c r="F47" s="18"/>
      <c r="G47" s="18"/>
      <c r="H47" s="18"/>
      <c r="I47" s="18"/>
      <c r="J47" s="18"/>
      <c r="K47" s="18"/>
    </row>
    <row r="48" spans="2:35" s="3" customFormat="1" ht="23.25" customHeight="1" x14ac:dyDescent="0.2">
      <c r="B48" s="78" t="str">
        <f>B38</f>
        <v>1 Ottobre - 31 Dicembre  2024</v>
      </c>
      <c r="C48" s="109" t="s">
        <v>27</v>
      </c>
      <c r="D48" s="110"/>
      <c r="E48" s="111"/>
      <c r="F48" s="37" t="s">
        <v>28</v>
      </c>
      <c r="G48" s="37" t="s">
        <v>31</v>
      </c>
      <c r="H48" s="37" t="s">
        <v>30</v>
      </c>
      <c r="I48" s="37" t="s">
        <v>32</v>
      </c>
      <c r="J48" s="37" t="s">
        <v>33</v>
      </c>
      <c r="K48" s="42" t="s">
        <v>29</v>
      </c>
      <c r="L48" s="112" t="s">
        <v>9</v>
      </c>
      <c r="M48" s="113"/>
      <c r="N48" s="114"/>
      <c r="O48" s="115" t="s">
        <v>12</v>
      </c>
      <c r="P48" s="115" t="s">
        <v>13</v>
      </c>
      <c r="Q48" s="115" t="s">
        <v>14</v>
      </c>
      <c r="R48" s="138" t="s">
        <v>0</v>
      </c>
      <c r="S48" s="138" t="s">
        <v>1</v>
      </c>
      <c r="T48" s="140" t="s">
        <v>10</v>
      </c>
      <c r="U48" s="81" t="s">
        <v>44</v>
      </c>
      <c r="V48" s="82"/>
    </row>
    <row r="49" spans="2:35" s="3" customFormat="1" ht="18.75" x14ac:dyDescent="0.2">
      <c r="B49" s="19" t="s">
        <v>17</v>
      </c>
      <c r="C49" s="6" t="s">
        <v>2</v>
      </c>
      <c r="D49" s="6" t="s">
        <v>3</v>
      </c>
      <c r="E49" s="6" t="s">
        <v>4</v>
      </c>
      <c r="F49" s="26"/>
      <c r="G49" s="26"/>
      <c r="H49" s="26"/>
      <c r="I49" s="26"/>
      <c r="J49" s="26"/>
      <c r="K49" s="26"/>
      <c r="L49" s="21" t="s">
        <v>2</v>
      </c>
      <c r="M49" s="22" t="s">
        <v>3</v>
      </c>
      <c r="N49" s="23" t="s">
        <v>4</v>
      </c>
      <c r="O49" s="116"/>
      <c r="P49" s="116"/>
      <c r="Q49" s="116"/>
      <c r="R49" s="139"/>
      <c r="S49" s="139"/>
      <c r="T49" s="141"/>
      <c r="U49" s="77" t="s">
        <v>42</v>
      </c>
      <c r="V49" s="77" t="s">
        <v>43</v>
      </c>
    </row>
    <row r="50" spans="2:35" s="5" customFormat="1" ht="14.25" customHeight="1" x14ac:dyDescent="0.2">
      <c r="B50" s="35" t="str">
        <f>B40</f>
        <v>Ottobre 2024</v>
      </c>
      <c r="C50" s="64">
        <f>IF(C40=0,"",C40)</f>
        <v>0.13615250000000001</v>
      </c>
      <c r="D50" s="64">
        <f t="shared" ref="D50:E50" si="24">IF(D40=0,"",D40)</f>
        <v>0.1392941</v>
      </c>
      <c r="E50" s="64">
        <f t="shared" si="24"/>
        <v>0.11580140000000001</v>
      </c>
      <c r="F50" s="64">
        <f t="shared" ref="F50:H50" si="25">F40</f>
        <v>1.0672199999999998E-2</v>
      </c>
      <c r="G50" s="164">
        <f t="shared" si="25"/>
        <v>4.0000000000000002E-4</v>
      </c>
      <c r="H50" s="164">
        <f t="shared" si="25"/>
        <v>3.1189999999999998E-3</v>
      </c>
      <c r="I50" s="65"/>
      <c r="J50" s="173">
        <f t="shared" ref="J50:K50" si="26">J40</f>
        <v>1.4999999999999999E-4</v>
      </c>
      <c r="K50" s="167">
        <f t="shared" si="26"/>
        <v>-1.66E-3</v>
      </c>
      <c r="L50" s="68">
        <f>IF(C50&lt;&gt;"",C50+$F$50+$G$50+$H$50+$I$50+$J$50+$K$50,L20)</f>
        <v>0.14883370000000004</v>
      </c>
      <c r="M50" s="76">
        <f>IF(D50&lt;&gt;"",D50+$F$50+$G$50+$H$50+$I$50+$J$50+$K$50,M20)</f>
        <v>0.15197530000000004</v>
      </c>
      <c r="N50" s="76">
        <f>IF(E50&lt;&gt;"",E50+$F$50+$G$50+$H$50+$I$50+$J$50+$K$50,N20)</f>
        <v>0.12848260000000006</v>
      </c>
      <c r="O50" s="87">
        <f>0.065/100</f>
        <v>6.4999999999999997E-4</v>
      </c>
      <c r="P50" s="149">
        <f>$P$20</f>
        <v>1.057E-2</v>
      </c>
      <c r="Q50" s="99" t="s">
        <v>11</v>
      </c>
      <c r="R50" s="149">
        <f>$R$20</f>
        <v>1.56E-3</v>
      </c>
      <c r="S50" s="149">
        <f>$S$20</f>
        <v>7.0000000000000007E-5</v>
      </c>
      <c r="T50" s="90">
        <f>O50+P50+R50+S50</f>
        <v>1.285E-2</v>
      </c>
      <c r="U50" s="90">
        <f>U40</f>
        <v>4.2632000000000003E-2</v>
      </c>
      <c r="V50" s="90">
        <f>V40</f>
        <v>5.5720000000000006E-3</v>
      </c>
      <c r="W50" s="3"/>
      <c r="X50" s="3"/>
      <c r="Y50" s="3"/>
      <c r="Z50" s="3"/>
      <c r="AA50" s="11"/>
      <c r="AB50" s="11"/>
      <c r="AC50" s="11"/>
      <c r="AD50" s="3"/>
      <c r="AE50" s="3"/>
      <c r="AF50" s="3"/>
      <c r="AG50" s="3"/>
      <c r="AH50" s="3"/>
      <c r="AI50" s="3"/>
    </row>
    <row r="51" spans="2:35" s="3" customFormat="1" ht="14.25" customHeight="1" x14ac:dyDescent="0.2">
      <c r="B51" s="35" t="str">
        <f>B41</f>
        <v>Novembre 2024</v>
      </c>
      <c r="C51" s="64">
        <f t="shared" ref="C51:E51" si="27">IF(C41=0,"",C41)</f>
        <v>0.16015120000000002</v>
      </c>
      <c r="D51" s="64">
        <f t="shared" si="27"/>
        <v>0.15111250000000001</v>
      </c>
      <c r="E51" s="64">
        <f t="shared" si="27"/>
        <v>0.12884630000000002</v>
      </c>
      <c r="F51" s="64">
        <f t="shared" ref="F51:H51" si="28">F41</f>
        <v>1.0672199999999998E-2</v>
      </c>
      <c r="G51" s="165">
        <f t="shared" si="28"/>
        <v>0</v>
      </c>
      <c r="H51" s="165">
        <f t="shared" si="28"/>
        <v>0</v>
      </c>
      <c r="I51" s="66"/>
      <c r="J51" s="173"/>
      <c r="K51" s="167">
        <f t="shared" ref="K51" si="29">K41</f>
        <v>0</v>
      </c>
      <c r="L51" s="68">
        <f>IF(C51&lt;&gt;"",C51+$F$51+$G$50+$H$50+$I$50+$J$50+$K$50,L21)</f>
        <v>0.17283240000000005</v>
      </c>
      <c r="M51" s="76">
        <f>IF(D51&lt;&gt;"",D51+$F$51+$G$50+$H$50+$I$50+$J$50+$K$50,M21)</f>
        <v>0.16379370000000004</v>
      </c>
      <c r="N51" s="76">
        <f>IF(E51&lt;&gt;"",E51+$F$51+$G$50+$H$50+$I$50+$J$50+$K$50,N21)</f>
        <v>0.14152750000000006</v>
      </c>
      <c r="O51" s="88"/>
      <c r="P51" s="150"/>
      <c r="Q51" s="88"/>
      <c r="R51" s="150"/>
      <c r="S51" s="150"/>
      <c r="T51" s="91"/>
      <c r="U51" s="91"/>
      <c r="V51" s="91"/>
      <c r="AA51" s="11"/>
      <c r="AB51" s="11"/>
      <c r="AC51" s="11"/>
    </row>
    <row r="52" spans="2:35" s="3" customFormat="1" ht="14.25" customHeight="1" x14ac:dyDescent="0.2">
      <c r="B52" s="35" t="str">
        <f>B42</f>
        <v>Dicembre 2024</v>
      </c>
      <c r="C52" s="64">
        <f t="shared" ref="C52:E52" si="30">IF(C42=0,"",C42)</f>
        <v>0.17431920000000001</v>
      </c>
      <c r="D52" s="64">
        <f t="shared" si="30"/>
        <v>0.16052630000000001</v>
      </c>
      <c r="E52" s="64">
        <f t="shared" si="30"/>
        <v>0.1273899</v>
      </c>
      <c r="F52" s="64">
        <f t="shared" ref="F52:H52" si="31">F42</f>
        <v>1.5783900000000003E-2</v>
      </c>
      <c r="G52" s="166">
        <f t="shared" si="31"/>
        <v>0</v>
      </c>
      <c r="H52" s="166">
        <f t="shared" si="31"/>
        <v>0</v>
      </c>
      <c r="I52" s="67"/>
      <c r="J52" s="174"/>
      <c r="K52" s="168">
        <f t="shared" ref="K52" si="32">K42</f>
        <v>0</v>
      </c>
      <c r="L52" s="68">
        <f>IF(C52&lt;&gt;"",C52+$F$52+$G$50+$H$50+$I$50+$J$50+$K$50,L22)</f>
        <v>0.19211210000000006</v>
      </c>
      <c r="M52" s="76">
        <f>IF(D52&lt;&gt;"",D52+$F$52+$G$50+$H$50+$I$50+$J$50+$K$50,M22)</f>
        <v>0.17831920000000007</v>
      </c>
      <c r="N52" s="76">
        <f>IF(E52&lt;&gt;"",E52+$F$52+$G$50+$H$50+$I$50+$J$50+$K$50,N22)</f>
        <v>0.14518280000000006</v>
      </c>
      <c r="O52" s="89"/>
      <c r="P52" s="151"/>
      <c r="Q52" s="89"/>
      <c r="R52" s="151"/>
      <c r="S52" s="151"/>
      <c r="T52" s="92"/>
      <c r="U52" s="92"/>
      <c r="V52" s="92"/>
      <c r="AA52" s="11"/>
      <c r="AB52" s="11"/>
      <c r="AC52" s="11"/>
    </row>
    <row r="53" spans="2:35" s="3" customFormat="1" ht="14.25" customHeight="1" x14ac:dyDescent="0.2">
      <c r="B53" s="24" t="s">
        <v>18</v>
      </c>
      <c r="C53" s="52" t="str">
        <f t="shared" ref="C53:K54" si="33">C43</f>
        <v xml:space="preserve">- </v>
      </c>
      <c r="D53" s="52" t="str">
        <f t="shared" si="33"/>
        <v xml:space="preserve">- </v>
      </c>
      <c r="E53" s="52" t="str">
        <f t="shared" si="33"/>
        <v xml:space="preserve">- </v>
      </c>
      <c r="F53" s="52" t="str">
        <f t="shared" si="33"/>
        <v xml:space="preserve">- </v>
      </c>
      <c r="G53" s="49" t="str">
        <f t="shared" si="33"/>
        <v xml:space="preserve">- </v>
      </c>
      <c r="H53" s="49" t="str">
        <f t="shared" si="33"/>
        <v xml:space="preserve">- </v>
      </c>
      <c r="I53" s="49">
        <f t="shared" si="33"/>
        <v>35</v>
      </c>
      <c r="J53" s="52" t="str">
        <f t="shared" si="33"/>
        <v xml:space="preserve">- </v>
      </c>
      <c r="K53" s="52" t="str">
        <f t="shared" si="33"/>
        <v xml:space="preserve">- </v>
      </c>
      <c r="L53" s="100">
        <f>I53</f>
        <v>35</v>
      </c>
      <c r="M53" s="101"/>
      <c r="N53" s="102"/>
      <c r="O53" s="50">
        <f>553.8/100</f>
        <v>5.5379999999999994</v>
      </c>
      <c r="P53" s="51" t="s">
        <v>11</v>
      </c>
      <c r="Q53" s="60">
        <f>$Q$23</f>
        <v>20.9587</v>
      </c>
      <c r="R53" s="52" t="s">
        <v>11</v>
      </c>
      <c r="S53" s="62">
        <f>$S$23</f>
        <v>1.6824000000000001</v>
      </c>
      <c r="T53" s="73">
        <f>O53+Q53+S53</f>
        <v>28.179100000000002</v>
      </c>
      <c r="U53" s="73">
        <f>1218/100</f>
        <v>12.18</v>
      </c>
      <c r="V53" s="73">
        <f>1130.52/100</f>
        <v>11.305199999999999</v>
      </c>
      <c r="AA53" s="11"/>
      <c r="AB53" s="11"/>
      <c r="AC53" s="11"/>
    </row>
    <row r="54" spans="2:35" s="3" customFormat="1" ht="14.25" customHeight="1" x14ac:dyDescent="0.2">
      <c r="B54" s="24" t="s">
        <v>19</v>
      </c>
      <c r="C54" s="52" t="str">
        <f t="shared" ref="C54:I54" si="34">C44</f>
        <v xml:space="preserve">- </v>
      </c>
      <c r="D54" s="52" t="str">
        <f t="shared" si="34"/>
        <v xml:space="preserve">- </v>
      </c>
      <c r="E54" s="52" t="str">
        <f t="shared" si="34"/>
        <v xml:space="preserve">- </v>
      </c>
      <c r="F54" s="52" t="str">
        <f t="shared" si="34"/>
        <v xml:space="preserve">- </v>
      </c>
      <c r="G54" s="52" t="str">
        <f t="shared" si="34"/>
        <v xml:space="preserve">- </v>
      </c>
      <c r="H54" s="52" t="str">
        <f t="shared" si="34"/>
        <v xml:space="preserve">- </v>
      </c>
      <c r="I54" s="52">
        <f t="shared" si="34"/>
        <v>0</v>
      </c>
      <c r="J54" s="52" t="str">
        <f t="shared" si="33"/>
        <v xml:space="preserve">- </v>
      </c>
      <c r="K54" s="52" t="str">
        <f t="shared" si="33"/>
        <v xml:space="preserve">- </v>
      </c>
      <c r="L54" s="169" t="s">
        <v>11</v>
      </c>
      <c r="M54" s="170"/>
      <c r="N54" s="171"/>
      <c r="O54" s="50">
        <f>3301.77/100</f>
        <v>33.017699999999998</v>
      </c>
      <c r="P54" s="51" t="s">
        <v>11</v>
      </c>
      <c r="Q54" s="52" t="s">
        <v>11</v>
      </c>
      <c r="R54" s="52" t="s">
        <v>11</v>
      </c>
      <c r="S54" s="58">
        <f>$S$24</f>
        <v>0</v>
      </c>
      <c r="T54" s="73">
        <f>O54</f>
        <v>33.017699999999998</v>
      </c>
      <c r="U54" s="75">
        <f>U44</f>
        <v>15.424799999999999</v>
      </c>
      <c r="V54" s="74">
        <f>V44</f>
        <v>14.3172</v>
      </c>
      <c r="AA54" s="11"/>
      <c r="AB54" s="11"/>
      <c r="AC54" s="11"/>
    </row>
    <row r="55" spans="2:35" ht="25.5" customHeight="1" x14ac:dyDescent="0.2">
      <c r="B55" s="25" t="s">
        <v>15</v>
      </c>
      <c r="C55" s="12"/>
      <c r="D55" s="12"/>
      <c r="E55" s="12"/>
      <c r="F55" s="12"/>
      <c r="G55" s="12"/>
      <c r="H55" s="12"/>
      <c r="I55" s="12"/>
      <c r="J55" s="12"/>
      <c r="K55" s="12"/>
      <c r="L55" s="106" t="s">
        <v>16</v>
      </c>
      <c r="M55" s="107"/>
      <c r="N55" s="107"/>
      <c r="O55" s="107"/>
      <c r="P55" s="107"/>
      <c r="Q55" s="107"/>
      <c r="R55" s="107"/>
      <c r="S55" s="107"/>
      <c r="T55" s="107"/>
      <c r="U55" s="107"/>
      <c r="V55" s="108"/>
    </row>
    <row r="57" spans="2:35" ht="14.25" customHeight="1" x14ac:dyDescent="0.2">
      <c r="B57" s="17" t="s">
        <v>39</v>
      </c>
    </row>
    <row r="58" spans="2:35" s="3" customFormat="1" ht="23.25" customHeight="1" x14ac:dyDescent="0.2">
      <c r="B58" s="78" t="str">
        <f>B48</f>
        <v>1 Ottobre - 31 Dicembre  2024</v>
      </c>
      <c r="C58" s="109" t="s">
        <v>27</v>
      </c>
      <c r="D58" s="110"/>
      <c r="E58" s="111"/>
      <c r="F58" s="37" t="s">
        <v>28</v>
      </c>
      <c r="G58" s="37" t="s">
        <v>31</v>
      </c>
      <c r="H58" s="37" t="s">
        <v>30</v>
      </c>
      <c r="I58" s="37" t="s">
        <v>32</v>
      </c>
      <c r="J58" s="37" t="s">
        <v>33</v>
      </c>
      <c r="K58" s="42" t="s">
        <v>29</v>
      </c>
      <c r="L58" s="112" t="s">
        <v>9</v>
      </c>
      <c r="M58" s="113"/>
      <c r="N58" s="114"/>
      <c r="O58" s="115" t="s">
        <v>12</v>
      </c>
      <c r="P58" s="115" t="s">
        <v>13</v>
      </c>
      <c r="Q58" s="115" t="s">
        <v>14</v>
      </c>
      <c r="R58" s="138" t="s">
        <v>0</v>
      </c>
      <c r="S58" s="138" t="s">
        <v>1</v>
      </c>
      <c r="T58" s="140" t="s">
        <v>10</v>
      </c>
      <c r="U58" s="81" t="s">
        <v>44</v>
      </c>
      <c r="V58" s="82"/>
    </row>
    <row r="59" spans="2:35" s="3" customFormat="1" ht="18.75" x14ac:dyDescent="0.2">
      <c r="B59" s="19" t="s">
        <v>17</v>
      </c>
      <c r="C59" s="6" t="s">
        <v>2</v>
      </c>
      <c r="D59" s="6" t="s">
        <v>3</v>
      </c>
      <c r="E59" s="6" t="s">
        <v>4</v>
      </c>
      <c r="F59" s="20"/>
      <c r="G59" s="20"/>
      <c r="H59" s="20"/>
      <c r="I59" s="20"/>
      <c r="J59" s="20"/>
      <c r="K59" s="20"/>
      <c r="L59" s="21" t="s">
        <v>2</v>
      </c>
      <c r="M59" s="22" t="s">
        <v>3</v>
      </c>
      <c r="N59" s="23" t="s">
        <v>4</v>
      </c>
      <c r="O59" s="116"/>
      <c r="P59" s="116"/>
      <c r="Q59" s="116"/>
      <c r="R59" s="139"/>
      <c r="S59" s="139"/>
      <c r="T59" s="141"/>
      <c r="U59" s="77" t="s">
        <v>42</v>
      </c>
      <c r="V59" s="77" t="s">
        <v>43</v>
      </c>
    </row>
    <row r="60" spans="2:35" s="5" customFormat="1" ht="14.25" customHeight="1" x14ac:dyDescent="0.2">
      <c r="B60" s="35" t="str">
        <f>B50</f>
        <v>Ottobre 2024</v>
      </c>
      <c r="C60" s="64">
        <f>IF(C50=0,"",C50)</f>
        <v>0.13615250000000001</v>
      </c>
      <c r="D60" s="64">
        <f t="shared" ref="D60:E60" si="35">IF(D50=0,"",D50)</f>
        <v>0.1392941</v>
      </c>
      <c r="E60" s="64">
        <f t="shared" si="35"/>
        <v>0.11580140000000001</v>
      </c>
      <c r="F60" s="64">
        <f t="shared" ref="F60:H60" si="36">F50</f>
        <v>1.0672199999999998E-2</v>
      </c>
      <c r="G60" s="164">
        <f t="shared" si="36"/>
        <v>4.0000000000000002E-4</v>
      </c>
      <c r="H60" s="164">
        <f t="shared" si="36"/>
        <v>3.1189999999999998E-3</v>
      </c>
      <c r="I60" s="65"/>
      <c r="J60" s="173">
        <f t="shared" ref="J60:K60" si="37">J50</f>
        <v>1.4999999999999999E-4</v>
      </c>
      <c r="K60" s="167">
        <f t="shared" si="37"/>
        <v>-1.66E-3</v>
      </c>
      <c r="L60" s="68">
        <f>IF(C60&lt;&gt;"",C60+$F$60+$G$60+$H$60+$I$60+$J$60+$K$60,L20)</f>
        <v>0.14883370000000004</v>
      </c>
      <c r="M60" s="76">
        <f t="shared" ref="M60:N60" si="38">IF(D60&lt;&gt;"",D60+$F$60+$G$60+$H$60+$I$60+$J$60+$K$60,M20)</f>
        <v>0.15197530000000004</v>
      </c>
      <c r="N60" s="76">
        <f t="shared" si="38"/>
        <v>0.12848260000000006</v>
      </c>
      <c r="O60" s="87">
        <f>0.065/100</f>
        <v>6.4999999999999997E-4</v>
      </c>
      <c r="P60" s="149">
        <f>$P$20</f>
        <v>1.057E-2</v>
      </c>
      <c r="Q60" s="99" t="s">
        <v>11</v>
      </c>
      <c r="R60" s="149">
        <f>$R$20</f>
        <v>1.56E-3</v>
      </c>
      <c r="S60" s="149">
        <f>$S$20</f>
        <v>7.0000000000000007E-5</v>
      </c>
      <c r="T60" s="90">
        <f>O60+P60+R60+S60</f>
        <v>1.285E-2</v>
      </c>
      <c r="U60" s="90">
        <f>U50</f>
        <v>4.2632000000000003E-2</v>
      </c>
      <c r="V60" s="90">
        <f>V50</f>
        <v>5.5720000000000006E-3</v>
      </c>
      <c r="W60" s="3"/>
      <c r="X60" s="3"/>
      <c r="Y60" s="3"/>
      <c r="Z60" s="3"/>
      <c r="AA60" s="11"/>
      <c r="AB60" s="11"/>
      <c r="AC60" s="11"/>
      <c r="AD60" s="3"/>
      <c r="AE60" s="3"/>
      <c r="AF60" s="3"/>
      <c r="AG60" s="3"/>
      <c r="AH60" s="3"/>
      <c r="AI60" s="3"/>
    </row>
    <row r="61" spans="2:35" s="3" customFormat="1" ht="14.25" customHeight="1" x14ac:dyDescent="0.2">
      <c r="B61" s="35" t="str">
        <f>B51</f>
        <v>Novembre 2024</v>
      </c>
      <c r="C61" s="64">
        <f t="shared" ref="C61:E61" si="39">IF(C51=0,"",C51)</f>
        <v>0.16015120000000002</v>
      </c>
      <c r="D61" s="64">
        <f t="shared" si="39"/>
        <v>0.15111250000000001</v>
      </c>
      <c r="E61" s="64">
        <f t="shared" si="39"/>
        <v>0.12884630000000002</v>
      </c>
      <c r="F61" s="64">
        <f t="shared" ref="F61:H61" si="40">F51</f>
        <v>1.0672199999999998E-2</v>
      </c>
      <c r="G61" s="165">
        <f t="shared" si="40"/>
        <v>0</v>
      </c>
      <c r="H61" s="165">
        <f t="shared" si="40"/>
        <v>0</v>
      </c>
      <c r="I61" s="66"/>
      <c r="J61" s="173"/>
      <c r="K61" s="167">
        <f t="shared" ref="K61" si="41">K51</f>
        <v>0</v>
      </c>
      <c r="L61" s="68">
        <f>IF(C61&lt;&gt;"",C61+$F$61+$G$60+$H$60+$I$60+$J$60+$K$60,L21)</f>
        <v>0.17283240000000005</v>
      </c>
      <c r="M61" s="76">
        <f t="shared" ref="M61:N61" si="42">IF(D61&lt;&gt;"",D61+$F$61+$G$60+$H$60+$I$60+$J$60+$K$60,M21)</f>
        <v>0.16379370000000004</v>
      </c>
      <c r="N61" s="76">
        <f t="shared" si="42"/>
        <v>0.14152750000000006</v>
      </c>
      <c r="O61" s="88"/>
      <c r="P61" s="150"/>
      <c r="Q61" s="88"/>
      <c r="R61" s="150"/>
      <c r="S61" s="150"/>
      <c r="T61" s="91"/>
      <c r="U61" s="91"/>
      <c r="V61" s="91"/>
      <c r="AA61" s="11"/>
      <c r="AB61" s="11"/>
      <c r="AC61" s="11"/>
    </row>
    <row r="62" spans="2:35" s="3" customFormat="1" ht="14.25" customHeight="1" x14ac:dyDescent="0.2">
      <c r="B62" s="35" t="str">
        <f>B52</f>
        <v>Dicembre 2024</v>
      </c>
      <c r="C62" s="64">
        <f t="shared" ref="C62:E62" si="43">IF(C52=0,"",C52)</f>
        <v>0.17431920000000001</v>
      </c>
      <c r="D62" s="64">
        <f t="shared" si="43"/>
        <v>0.16052630000000001</v>
      </c>
      <c r="E62" s="64">
        <f t="shared" si="43"/>
        <v>0.1273899</v>
      </c>
      <c r="F62" s="64">
        <f t="shared" ref="F62:H62" si="44">F52</f>
        <v>1.5783900000000003E-2</v>
      </c>
      <c r="G62" s="166">
        <f t="shared" si="44"/>
        <v>0</v>
      </c>
      <c r="H62" s="166">
        <f t="shared" si="44"/>
        <v>0</v>
      </c>
      <c r="I62" s="67"/>
      <c r="J62" s="174"/>
      <c r="K62" s="168">
        <f t="shared" ref="K62" si="45">K52</f>
        <v>0</v>
      </c>
      <c r="L62" s="68">
        <f>IF(C62&lt;&gt;"",C62+$F$62+$G$60+$H$60+$I$60+$J$60+$K$60,L22)</f>
        <v>0.19211210000000006</v>
      </c>
      <c r="M62" s="76">
        <f t="shared" ref="M62:N62" si="46">IF(D62&lt;&gt;"",D62+$F$62+$G$60+$H$60+$I$60+$J$60+$K$60,M22)</f>
        <v>0.17831920000000007</v>
      </c>
      <c r="N62" s="76">
        <f t="shared" si="46"/>
        <v>0.14518280000000006</v>
      </c>
      <c r="O62" s="89"/>
      <c r="P62" s="151"/>
      <c r="Q62" s="89"/>
      <c r="R62" s="151"/>
      <c r="S62" s="151"/>
      <c r="T62" s="92"/>
      <c r="U62" s="92"/>
      <c r="V62" s="92"/>
      <c r="AA62" s="11"/>
      <c r="AB62" s="11"/>
      <c r="AC62" s="11"/>
    </row>
    <row r="63" spans="2:35" s="3" customFormat="1" ht="14.25" customHeight="1" x14ac:dyDescent="0.2">
      <c r="B63" s="24" t="s">
        <v>18</v>
      </c>
      <c r="C63" s="52" t="str">
        <f t="shared" ref="C63:K64" si="47">C53</f>
        <v xml:space="preserve">- </v>
      </c>
      <c r="D63" s="52" t="str">
        <f t="shared" si="47"/>
        <v xml:space="preserve">- </v>
      </c>
      <c r="E63" s="52" t="str">
        <f t="shared" si="47"/>
        <v xml:space="preserve">- </v>
      </c>
      <c r="F63" s="52" t="str">
        <f t="shared" si="47"/>
        <v xml:space="preserve">- </v>
      </c>
      <c r="G63" s="49" t="str">
        <f t="shared" si="47"/>
        <v xml:space="preserve">- </v>
      </c>
      <c r="H63" s="49" t="str">
        <f t="shared" si="47"/>
        <v xml:space="preserve">- </v>
      </c>
      <c r="I63" s="49">
        <f t="shared" si="47"/>
        <v>35</v>
      </c>
      <c r="J63" s="52" t="str">
        <f t="shared" si="47"/>
        <v xml:space="preserve">- </v>
      </c>
      <c r="K63" s="52" t="str">
        <f t="shared" si="47"/>
        <v xml:space="preserve">- </v>
      </c>
      <c r="L63" s="100">
        <f>I63</f>
        <v>35</v>
      </c>
      <c r="M63" s="101"/>
      <c r="N63" s="102"/>
      <c r="O63" s="50">
        <f>553.8/100</f>
        <v>5.5379999999999994</v>
      </c>
      <c r="P63" s="51" t="s">
        <v>11</v>
      </c>
      <c r="Q63" s="60">
        <f>$Q$23</f>
        <v>20.9587</v>
      </c>
      <c r="R63" s="52" t="s">
        <v>11</v>
      </c>
      <c r="S63" s="62">
        <f>$S$23</f>
        <v>1.6824000000000001</v>
      </c>
      <c r="T63" s="73">
        <f>O63+Q63+S63</f>
        <v>28.179100000000002</v>
      </c>
      <c r="U63" s="73">
        <f>U53</f>
        <v>12.18</v>
      </c>
      <c r="V63" s="73">
        <f>V53</f>
        <v>11.305199999999999</v>
      </c>
      <c r="AA63" s="11"/>
      <c r="AB63" s="11"/>
      <c r="AC63" s="11"/>
    </row>
    <row r="64" spans="2:35" s="3" customFormat="1" ht="14.25" customHeight="1" x14ac:dyDescent="0.2">
      <c r="B64" s="24" t="s">
        <v>19</v>
      </c>
      <c r="C64" s="52" t="str">
        <f t="shared" ref="C64:I64" si="48">C54</f>
        <v xml:space="preserve">- </v>
      </c>
      <c r="D64" s="52" t="str">
        <f t="shared" si="48"/>
        <v xml:space="preserve">- </v>
      </c>
      <c r="E64" s="52" t="str">
        <f t="shared" si="48"/>
        <v xml:space="preserve">- </v>
      </c>
      <c r="F64" s="52" t="str">
        <f t="shared" si="48"/>
        <v xml:space="preserve">- </v>
      </c>
      <c r="G64" s="52" t="str">
        <f t="shared" si="48"/>
        <v xml:space="preserve">- </v>
      </c>
      <c r="H64" s="52" t="str">
        <f t="shared" si="48"/>
        <v xml:space="preserve">- </v>
      </c>
      <c r="I64" s="52">
        <f t="shared" si="48"/>
        <v>0</v>
      </c>
      <c r="J64" s="52" t="str">
        <f t="shared" si="47"/>
        <v xml:space="preserve">- </v>
      </c>
      <c r="K64" s="52" t="str">
        <f t="shared" si="47"/>
        <v xml:space="preserve">- </v>
      </c>
      <c r="L64" s="169" t="s">
        <v>11</v>
      </c>
      <c r="M64" s="170"/>
      <c r="N64" s="171"/>
      <c r="O64" s="50">
        <f>3301.77/100</f>
        <v>33.017699999999998</v>
      </c>
      <c r="P64" s="51" t="s">
        <v>11</v>
      </c>
      <c r="Q64" s="52" t="s">
        <v>11</v>
      </c>
      <c r="R64" s="52" t="s">
        <v>11</v>
      </c>
      <c r="S64" s="58">
        <f>$S$24</f>
        <v>0</v>
      </c>
      <c r="T64" s="73">
        <f>O64</f>
        <v>33.017699999999998</v>
      </c>
      <c r="U64" s="75">
        <f>U44</f>
        <v>15.424799999999999</v>
      </c>
      <c r="V64" s="74">
        <f>V44</f>
        <v>14.3172</v>
      </c>
      <c r="AA64" s="11"/>
      <c r="AB64" s="11"/>
      <c r="AC64" s="11"/>
    </row>
    <row r="65" spans="1:257" ht="25.5" customHeight="1" x14ac:dyDescent="0.2">
      <c r="B65" s="25" t="s">
        <v>15</v>
      </c>
      <c r="C65" s="12"/>
      <c r="D65" s="12"/>
      <c r="E65" s="12"/>
      <c r="F65" s="12"/>
      <c r="G65" s="12"/>
      <c r="H65" s="12"/>
      <c r="I65" s="12"/>
      <c r="J65" s="12"/>
      <c r="K65" s="12"/>
      <c r="L65" s="106" t="s">
        <v>16</v>
      </c>
      <c r="M65" s="107"/>
      <c r="N65" s="107"/>
      <c r="O65" s="107"/>
      <c r="P65" s="107"/>
      <c r="Q65" s="107"/>
      <c r="R65" s="107"/>
      <c r="S65" s="107"/>
      <c r="T65" s="107"/>
      <c r="U65" s="107"/>
      <c r="V65" s="108"/>
    </row>
    <row r="67" spans="1:257" x14ac:dyDescent="0.2">
      <c r="B67" s="17" t="s">
        <v>40</v>
      </c>
    </row>
    <row r="68" spans="1:257" s="3" customFormat="1" ht="23.25" customHeight="1" x14ac:dyDescent="0.2">
      <c r="B68" s="78" t="str">
        <f>B58</f>
        <v>1 Ottobre - 31 Dicembre  2024</v>
      </c>
      <c r="C68" s="109" t="s">
        <v>27</v>
      </c>
      <c r="D68" s="110"/>
      <c r="E68" s="111"/>
      <c r="F68" s="37" t="s">
        <v>28</v>
      </c>
      <c r="G68" s="37" t="s">
        <v>31</v>
      </c>
      <c r="H68" s="37" t="s">
        <v>30</v>
      </c>
      <c r="I68" s="37" t="s">
        <v>32</v>
      </c>
      <c r="J68" s="37" t="s">
        <v>33</v>
      </c>
      <c r="K68" s="42" t="s">
        <v>29</v>
      </c>
      <c r="L68" s="112" t="s">
        <v>9</v>
      </c>
      <c r="M68" s="113"/>
      <c r="N68" s="114"/>
      <c r="O68" s="115" t="s">
        <v>12</v>
      </c>
      <c r="P68" s="115" t="s">
        <v>13</v>
      </c>
      <c r="Q68" s="115" t="s">
        <v>14</v>
      </c>
      <c r="R68" s="138" t="s">
        <v>0</v>
      </c>
      <c r="S68" s="138" t="s">
        <v>1</v>
      </c>
      <c r="T68" s="140" t="s">
        <v>10</v>
      </c>
      <c r="U68" s="81" t="s">
        <v>44</v>
      </c>
      <c r="V68" s="82"/>
    </row>
    <row r="69" spans="1:257" s="3" customFormat="1" ht="18.75" x14ac:dyDescent="0.2">
      <c r="B69" s="19" t="s">
        <v>17</v>
      </c>
      <c r="C69" s="6" t="s">
        <v>2</v>
      </c>
      <c r="D69" s="6" t="s">
        <v>3</v>
      </c>
      <c r="E69" s="6" t="s">
        <v>4</v>
      </c>
      <c r="F69" s="20"/>
      <c r="G69" s="20"/>
      <c r="H69" s="20"/>
      <c r="I69" s="20"/>
      <c r="J69" s="20"/>
      <c r="K69" s="20"/>
      <c r="L69" s="21" t="s">
        <v>2</v>
      </c>
      <c r="M69" s="22" t="s">
        <v>3</v>
      </c>
      <c r="N69" s="23" t="s">
        <v>4</v>
      </c>
      <c r="O69" s="116"/>
      <c r="P69" s="116"/>
      <c r="Q69" s="116"/>
      <c r="R69" s="139"/>
      <c r="S69" s="139"/>
      <c r="T69" s="141"/>
      <c r="U69" s="77" t="s">
        <v>42</v>
      </c>
      <c r="V69" s="77" t="s">
        <v>43</v>
      </c>
    </row>
    <row r="70" spans="1:257" s="5" customFormat="1" ht="14.25" customHeight="1" x14ac:dyDescent="0.2">
      <c r="B70" s="35" t="str">
        <f>B60</f>
        <v>Ottobre 2024</v>
      </c>
      <c r="C70" s="64">
        <f>IF(C60=0,"",C60)</f>
        <v>0.13615250000000001</v>
      </c>
      <c r="D70" s="64">
        <f t="shared" ref="D70:E70" si="49">IF(D60=0,"",D60)</f>
        <v>0.1392941</v>
      </c>
      <c r="E70" s="64">
        <f t="shared" si="49"/>
        <v>0.11580140000000001</v>
      </c>
      <c r="F70" s="64">
        <f t="shared" ref="F70:H70" si="50">F60</f>
        <v>1.0672199999999998E-2</v>
      </c>
      <c r="G70" s="164">
        <f t="shared" si="50"/>
        <v>4.0000000000000002E-4</v>
      </c>
      <c r="H70" s="164">
        <f t="shared" si="50"/>
        <v>3.1189999999999998E-3</v>
      </c>
      <c r="I70" s="65"/>
      <c r="J70" s="173">
        <f t="shared" ref="J70:K70" si="51">J60</f>
        <v>1.4999999999999999E-4</v>
      </c>
      <c r="K70" s="167">
        <f t="shared" si="51"/>
        <v>-1.66E-3</v>
      </c>
      <c r="L70" s="68">
        <f>IF(C70&lt;&gt;"",C70+$F$70+$G$70+$H$70+$I$70+$J$70+$K$70,L20)</f>
        <v>0.14883370000000004</v>
      </c>
      <c r="M70" s="76">
        <f t="shared" ref="M70:N70" si="52">IF(D70&lt;&gt;"",D70+$F$70+$G$70+$H$70+$I$70+$J$70+$K$70,M20)</f>
        <v>0.15197530000000004</v>
      </c>
      <c r="N70" s="76">
        <f t="shared" si="52"/>
        <v>0.12848260000000006</v>
      </c>
      <c r="O70" s="87">
        <f>0.063/100</f>
        <v>6.3000000000000003E-4</v>
      </c>
      <c r="P70" s="149">
        <f>$P$20</f>
        <v>1.057E-2</v>
      </c>
      <c r="Q70" s="99" t="s">
        <v>11</v>
      </c>
      <c r="R70" s="149">
        <f>$R$20</f>
        <v>1.56E-3</v>
      </c>
      <c r="S70" s="149">
        <f>$S$20</f>
        <v>7.0000000000000007E-5</v>
      </c>
      <c r="T70" s="90">
        <f>O70+P70+R70+S70</f>
        <v>1.2830000000000001E-2</v>
      </c>
      <c r="U70" s="90">
        <f>4.1974/100</f>
        <v>4.1973999999999997E-2</v>
      </c>
      <c r="V70" s="90">
        <f>0.5562/100</f>
        <v>5.5620000000000001E-3</v>
      </c>
      <c r="W70" s="3"/>
      <c r="X70" s="3"/>
      <c r="Y70" s="3"/>
      <c r="Z70" s="3"/>
      <c r="AA70" s="11"/>
      <c r="AB70" s="11"/>
      <c r="AC70" s="11"/>
      <c r="AD70" s="3"/>
      <c r="AE70" s="3"/>
      <c r="AF70" s="3"/>
      <c r="AG70" s="3"/>
      <c r="AH70" s="3"/>
      <c r="AI70" s="3"/>
    </row>
    <row r="71" spans="1:257" s="3" customFormat="1" ht="14.25" customHeight="1" x14ac:dyDescent="0.2">
      <c r="B71" s="35" t="str">
        <f>B61</f>
        <v>Novembre 2024</v>
      </c>
      <c r="C71" s="64">
        <f t="shared" ref="C71:E71" si="53">IF(C61=0,"",C61)</f>
        <v>0.16015120000000002</v>
      </c>
      <c r="D71" s="64">
        <f t="shared" si="53"/>
        <v>0.15111250000000001</v>
      </c>
      <c r="E71" s="64">
        <f t="shared" si="53"/>
        <v>0.12884630000000002</v>
      </c>
      <c r="F71" s="64">
        <f t="shared" ref="F71:H71" si="54">F61</f>
        <v>1.0672199999999998E-2</v>
      </c>
      <c r="G71" s="165">
        <f t="shared" si="54"/>
        <v>0</v>
      </c>
      <c r="H71" s="165">
        <f t="shared" si="54"/>
        <v>0</v>
      </c>
      <c r="I71" s="66"/>
      <c r="J71" s="173"/>
      <c r="K71" s="167">
        <f t="shared" ref="K71" si="55">K61</f>
        <v>0</v>
      </c>
      <c r="L71" s="68">
        <f>IF(C71&lt;&gt;"",C71+$F$71+$G$70+$H$70+$I$70+$J$70+$K$70,L21)</f>
        <v>0.17283240000000005</v>
      </c>
      <c r="M71" s="76">
        <f t="shared" ref="M71:N71" si="56">IF(D71&lt;&gt;"",D71+$F$71+$G$70+$H$70+$I$70+$J$70+$K$70,M21)</f>
        <v>0.16379370000000004</v>
      </c>
      <c r="N71" s="76">
        <f t="shared" si="56"/>
        <v>0.14152750000000006</v>
      </c>
      <c r="O71" s="88"/>
      <c r="P71" s="150"/>
      <c r="Q71" s="88"/>
      <c r="R71" s="150"/>
      <c r="S71" s="150"/>
      <c r="T71" s="91"/>
      <c r="U71" s="91"/>
      <c r="V71" s="91"/>
      <c r="AA71" s="11"/>
      <c r="AB71" s="11"/>
      <c r="AC71" s="11"/>
    </row>
    <row r="72" spans="1:257" s="3" customFormat="1" ht="14.25" customHeight="1" x14ac:dyDescent="0.2">
      <c r="B72" s="35" t="str">
        <f>B62</f>
        <v>Dicembre 2024</v>
      </c>
      <c r="C72" s="64">
        <f t="shared" ref="C72:E72" si="57">IF(C62=0,"",C62)</f>
        <v>0.17431920000000001</v>
      </c>
      <c r="D72" s="64">
        <f t="shared" si="57"/>
        <v>0.16052630000000001</v>
      </c>
      <c r="E72" s="64">
        <f t="shared" si="57"/>
        <v>0.1273899</v>
      </c>
      <c r="F72" s="64">
        <f t="shared" ref="F72:H72" si="58">F62</f>
        <v>1.5783900000000003E-2</v>
      </c>
      <c r="G72" s="166">
        <f t="shared" si="58"/>
        <v>0</v>
      </c>
      <c r="H72" s="166">
        <f t="shared" si="58"/>
        <v>0</v>
      </c>
      <c r="I72" s="67"/>
      <c r="J72" s="174"/>
      <c r="K72" s="168">
        <f t="shared" ref="K72" si="59">K62</f>
        <v>0</v>
      </c>
      <c r="L72" s="68">
        <f>IF(C72&lt;&gt;"",C72+$F$72+$G$70+$H$70+$I$70+$J$70+$K$70,L22)</f>
        <v>0.19211210000000006</v>
      </c>
      <c r="M72" s="76">
        <f t="shared" ref="M72:N72" si="60">IF(D72&lt;&gt;"",D72+$F$72+$G$70+$H$70+$I$70+$J$70+$K$70,M22)</f>
        <v>0.17831920000000007</v>
      </c>
      <c r="N72" s="76">
        <f t="shared" si="60"/>
        <v>0.14518280000000006</v>
      </c>
      <c r="O72" s="89"/>
      <c r="P72" s="151"/>
      <c r="Q72" s="89"/>
      <c r="R72" s="151"/>
      <c r="S72" s="151"/>
      <c r="T72" s="92"/>
      <c r="U72" s="92"/>
      <c r="V72" s="92"/>
      <c r="AA72" s="11"/>
      <c r="AB72" s="11"/>
      <c r="AC72" s="11"/>
    </row>
    <row r="73" spans="1:257" s="3" customFormat="1" ht="14.25" customHeight="1" x14ac:dyDescent="0.2">
      <c r="B73" s="24" t="s">
        <v>18</v>
      </c>
      <c r="C73" s="52" t="str">
        <f t="shared" ref="C73:K74" si="61">C63</f>
        <v xml:space="preserve">- </v>
      </c>
      <c r="D73" s="52" t="str">
        <f t="shared" si="61"/>
        <v xml:space="preserve">- </v>
      </c>
      <c r="E73" s="52" t="str">
        <f t="shared" si="61"/>
        <v xml:space="preserve">- </v>
      </c>
      <c r="F73" s="52" t="str">
        <f t="shared" si="61"/>
        <v xml:space="preserve">- </v>
      </c>
      <c r="G73" s="49" t="str">
        <f t="shared" si="61"/>
        <v xml:space="preserve">- </v>
      </c>
      <c r="H73" s="49" t="str">
        <f t="shared" si="61"/>
        <v xml:space="preserve">- </v>
      </c>
      <c r="I73" s="49">
        <f t="shared" si="61"/>
        <v>35</v>
      </c>
      <c r="J73" s="52" t="str">
        <f t="shared" si="61"/>
        <v xml:space="preserve">- </v>
      </c>
      <c r="K73" s="52" t="str">
        <f t="shared" si="61"/>
        <v xml:space="preserve">- </v>
      </c>
      <c r="L73" s="100">
        <f>I73</f>
        <v>35</v>
      </c>
      <c r="M73" s="101"/>
      <c r="N73" s="102"/>
      <c r="O73" s="50">
        <f>503.46/100</f>
        <v>5.0346000000000002</v>
      </c>
      <c r="P73" s="51" t="s">
        <v>11</v>
      </c>
      <c r="Q73" s="60">
        <f>$Q$23</f>
        <v>20.9587</v>
      </c>
      <c r="R73" s="52" t="s">
        <v>11</v>
      </c>
      <c r="S73" s="62">
        <f>$S$23</f>
        <v>1.6824000000000001</v>
      </c>
      <c r="T73" s="73">
        <f>O73+Q73+S73</f>
        <v>27.675700000000003</v>
      </c>
      <c r="U73" s="73">
        <f>1175.64/100</f>
        <v>11.756400000000001</v>
      </c>
      <c r="V73" s="73">
        <f>1108.56/100</f>
        <v>11.085599999999999</v>
      </c>
      <c r="AA73" s="11"/>
      <c r="AB73" s="11"/>
      <c r="AC73" s="11"/>
    </row>
    <row r="74" spans="1:257" s="3" customFormat="1" ht="14.25" customHeight="1" x14ac:dyDescent="0.2">
      <c r="B74" s="24" t="s">
        <v>19</v>
      </c>
      <c r="C74" s="52" t="str">
        <f t="shared" ref="C74:I74" si="62">C64</f>
        <v xml:space="preserve">- </v>
      </c>
      <c r="D74" s="52" t="str">
        <f t="shared" si="62"/>
        <v xml:space="preserve">- </v>
      </c>
      <c r="E74" s="52" t="str">
        <f t="shared" si="62"/>
        <v xml:space="preserve">- </v>
      </c>
      <c r="F74" s="52" t="str">
        <f t="shared" si="62"/>
        <v xml:space="preserve">- </v>
      </c>
      <c r="G74" s="52" t="str">
        <f t="shared" si="62"/>
        <v xml:space="preserve">- </v>
      </c>
      <c r="H74" s="52" t="str">
        <f t="shared" si="62"/>
        <v xml:space="preserve">- </v>
      </c>
      <c r="I74" s="52">
        <f t="shared" si="62"/>
        <v>0</v>
      </c>
      <c r="J74" s="52" t="str">
        <f t="shared" si="61"/>
        <v xml:space="preserve">- </v>
      </c>
      <c r="K74" s="52" t="str">
        <f t="shared" si="61"/>
        <v xml:space="preserve">- </v>
      </c>
      <c r="L74" s="169" t="s">
        <v>11</v>
      </c>
      <c r="M74" s="170"/>
      <c r="N74" s="171"/>
      <c r="O74" s="50">
        <f>3135.86/100</f>
        <v>31.358600000000003</v>
      </c>
      <c r="P74" s="51" t="s">
        <v>11</v>
      </c>
      <c r="Q74" s="52" t="s">
        <v>11</v>
      </c>
      <c r="R74" s="52" t="s">
        <v>11</v>
      </c>
      <c r="S74" s="58">
        <f>$S$24</f>
        <v>0</v>
      </c>
      <c r="T74" s="73">
        <f>O74</f>
        <v>31.358600000000003</v>
      </c>
      <c r="U74" s="75">
        <f>1442.16/100</f>
        <v>14.421600000000002</v>
      </c>
      <c r="V74" s="74">
        <f>1359.72/100</f>
        <v>13.597200000000001</v>
      </c>
      <c r="AA74" s="11"/>
      <c r="AB74" s="11"/>
      <c r="AC74" s="11"/>
    </row>
    <row r="75" spans="1:257" ht="25.5" customHeight="1" x14ac:dyDescent="0.2">
      <c r="B75" s="25" t="s">
        <v>15</v>
      </c>
      <c r="C75" s="12"/>
      <c r="D75" s="12"/>
      <c r="E75" s="12"/>
      <c r="F75" s="12"/>
      <c r="G75" s="12"/>
      <c r="H75" s="12"/>
      <c r="I75" s="12"/>
      <c r="J75" s="12"/>
      <c r="K75" s="12"/>
      <c r="L75" s="106" t="s">
        <v>16</v>
      </c>
      <c r="M75" s="107"/>
      <c r="N75" s="107"/>
      <c r="O75" s="107"/>
      <c r="P75" s="107"/>
      <c r="Q75" s="107"/>
      <c r="R75" s="107"/>
      <c r="S75" s="107"/>
      <c r="T75" s="107"/>
      <c r="U75" s="107"/>
      <c r="V75" s="108"/>
    </row>
    <row r="76" spans="1:257" ht="15.75" customHeight="1" x14ac:dyDescent="0.2"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47"/>
      <c r="M76" s="47"/>
      <c r="N76" s="47"/>
      <c r="O76" s="34"/>
      <c r="P76" s="34"/>
      <c r="Q76" s="34"/>
      <c r="R76" s="34"/>
      <c r="S76" s="34"/>
      <c r="T76" s="34"/>
      <c r="U76" s="34"/>
      <c r="V76" s="34"/>
    </row>
    <row r="77" spans="1:257" customFormat="1" x14ac:dyDescent="0.2">
      <c r="A77" s="30"/>
      <c r="B77" s="31" t="s">
        <v>23</v>
      </c>
      <c r="C77" s="30"/>
      <c r="D77" s="30"/>
      <c r="E77" s="30"/>
      <c r="F77" s="30"/>
      <c r="G77" s="30"/>
      <c r="H77" s="30"/>
      <c r="I77" s="30"/>
      <c r="J77" s="30"/>
      <c r="K77" s="30"/>
      <c r="L77" s="48"/>
      <c r="M77" s="48"/>
      <c r="N77" s="48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</row>
    <row r="78" spans="1:257" customFormat="1" ht="14.25" customHeight="1" x14ac:dyDescent="0.2">
      <c r="A78" s="30"/>
      <c r="B78" s="31" t="s">
        <v>25</v>
      </c>
      <c r="C78" s="30"/>
      <c r="D78" s="30"/>
      <c r="E78" s="30"/>
      <c r="F78" s="30"/>
      <c r="G78" s="30"/>
      <c r="H78" s="30"/>
      <c r="I78" s="30"/>
      <c r="J78" s="30"/>
      <c r="K78" s="30"/>
      <c r="L78" s="48"/>
      <c r="M78" s="48"/>
      <c r="N78" s="48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</row>
    <row r="79" spans="1:257" customFormat="1" ht="14.25" customHeight="1" x14ac:dyDescent="0.2">
      <c r="A79" s="27"/>
      <c r="B79" s="28" t="s">
        <v>24</v>
      </c>
      <c r="C79" s="28"/>
      <c r="D79" s="28"/>
      <c r="E79" s="28"/>
      <c r="F79" s="28"/>
      <c r="G79" s="28"/>
      <c r="H79" s="28"/>
      <c r="I79" s="28"/>
      <c r="J79" s="28"/>
      <c r="K79" s="28"/>
      <c r="L79" s="46"/>
      <c r="M79" s="46"/>
      <c r="N79" s="46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  <c r="IV79" s="27"/>
      <c r="IW79" s="27"/>
    </row>
    <row r="80" spans="1:257" x14ac:dyDescent="0.2"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</row>
  </sheetData>
  <mergeCells count="154">
    <mergeCell ref="L53:N53"/>
    <mergeCell ref="L54:N54"/>
    <mergeCell ref="L55:V55"/>
    <mergeCell ref="T70:T72"/>
    <mergeCell ref="T50:T52"/>
    <mergeCell ref="J50:J52"/>
    <mergeCell ref="J60:J62"/>
    <mergeCell ref="J70:J72"/>
    <mergeCell ref="U50:U52"/>
    <mergeCell ref="P70:P72"/>
    <mergeCell ref="Q70:Q72"/>
    <mergeCell ref="R70:R72"/>
    <mergeCell ref="S70:S72"/>
    <mergeCell ref="T58:T59"/>
    <mergeCell ref="L73:N73"/>
    <mergeCell ref="L74:N74"/>
    <mergeCell ref="B80:V80"/>
    <mergeCell ref="L65:V65"/>
    <mergeCell ref="T60:T62"/>
    <mergeCell ref="U60:U62"/>
    <mergeCell ref="V60:V62"/>
    <mergeCell ref="L63:N63"/>
    <mergeCell ref="L64:N64"/>
    <mergeCell ref="C68:E68"/>
    <mergeCell ref="L68:N68"/>
    <mergeCell ref="O68:O69"/>
    <mergeCell ref="P68:P69"/>
    <mergeCell ref="Q68:Q69"/>
    <mergeCell ref="R68:R69"/>
    <mergeCell ref="S68:S69"/>
    <mergeCell ref="T68:T69"/>
    <mergeCell ref="L75:V75"/>
    <mergeCell ref="U70:U72"/>
    <mergeCell ref="V70:V72"/>
    <mergeCell ref="G70:G72"/>
    <mergeCell ref="H70:H72"/>
    <mergeCell ref="K70:K72"/>
    <mergeCell ref="O70:O72"/>
    <mergeCell ref="G60:G62"/>
    <mergeCell ref="H60:H62"/>
    <mergeCell ref="K60:K62"/>
    <mergeCell ref="O60:O62"/>
    <mergeCell ref="P60:P62"/>
    <mergeCell ref="Q60:Q62"/>
    <mergeCell ref="R60:R62"/>
    <mergeCell ref="S60:S62"/>
    <mergeCell ref="C58:E58"/>
    <mergeCell ref="L58:N58"/>
    <mergeCell ref="O58:O59"/>
    <mergeCell ref="P58:P59"/>
    <mergeCell ref="Q58:Q59"/>
    <mergeCell ref="R58:R59"/>
    <mergeCell ref="S58:S59"/>
    <mergeCell ref="G50:G52"/>
    <mergeCell ref="H50:H52"/>
    <mergeCell ref="K50:K52"/>
    <mergeCell ref="O50:O52"/>
    <mergeCell ref="P50:P52"/>
    <mergeCell ref="Q50:Q52"/>
    <mergeCell ref="R50:R52"/>
    <mergeCell ref="S50:S52"/>
    <mergeCell ref="L45:V45"/>
    <mergeCell ref="V50:V52"/>
    <mergeCell ref="C48:E48"/>
    <mergeCell ref="L48:N48"/>
    <mergeCell ref="O48:O49"/>
    <mergeCell ref="P48:P49"/>
    <mergeCell ref="Q48:Q49"/>
    <mergeCell ref="R48:R49"/>
    <mergeCell ref="S48:S49"/>
    <mergeCell ref="T48:T49"/>
    <mergeCell ref="U30:U32"/>
    <mergeCell ref="G40:G42"/>
    <mergeCell ref="H40:H42"/>
    <mergeCell ref="K40:K42"/>
    <mergeCell ref="O40:O42"/>
    <mergeCell ref="P40:P42"/>
    <mergeCell ref="Q40:Q42"/>
    <mergeCell ref="R40:R42"/>
    <mergeCell ref="S40:S42"/>
    <mergeCell ref="V30:V32"/>
    <mergeCell ref="L33:N33"/>
    <mergeCell ref="L34:N34"/>
    <mergeCell ref="L35:V35"/>
    <mergeCell ref="V40:V42"/>
    <mergeCell ref="U40:U42"/>
    <mergeCell ref="L43:N43"/>
    <mergeCell ref="L44:N44"/>
    <mergeCell ref="C38:E38"/>
    <mergeCell ref="L38:N38"/>
    <mergeCell ref="O38:O39"/>
    <mergeCell ref="P38:P39"/>
    <mergeCell ref="Q38:Q39"/>
    <mergeCell ref="R38:R39"/>
    <mergeCell ref="S38:S39"/>
    <mergeCell ref="T38:T39"/>
    <mergeCell ref="T40:T42"/>
    <mergeCell ref="J40:J42"/>
    <mergeCell ref="P28:P29"/>
    <mergeCell ref="Q28:Q29"/>
    <mergeCell ref="R28:R29"/>
    <mergeCell ref="S28:S29"/>
    <mergeCell ref="T28:T29"/>
    <mergeCell ref="J20:J22"/>
    <mergeCell ref="G30:G32"/>
    <mergeCell ref="H30:H32"/>
    <mergeCell ref="K30:K32"/>
    <mergeCell ref="O30:O32"/>
    <mergeCell ref="P30:P32"/>
    <mergeCell ref="Q30:Q32"/>
    <mergeCell ref="R30:R32"/>
    <mergeCell ref="S30:S32"/>
    <mergeCell ref="T30:T32"/>
    <mergeCell ref="J30:J32"/>
    <mergeCell ref="B7:V7"/>
    <mergeCell ref="C18:E18"/>
    <mergeCell ref="L18:N18"/>
    <mergeCell ref="O18:O19"/>
    <mergeCell ref="P18:P19"/>
    <mergeCell ref="Q18:Q19"/>
    <mergeCell ref="R18:R19"/>
    <mergeCell ref="S18:S19"/>
    <mergeCell ref="T18:T19"/>
    <mergeCell ref="U18:V18"/>
    <mergeCell ref="B9:V9"/>
    <mergeCell ref="B10:V10"/>
    <mergeCell ref="B11:V11"/>
    <mergeCell ref="B12:V12"/>
    <mergeCell ref="B13:V13"/>
    <mergeCell ref="B14:V14"/>
    <mergeCell ref="U28:V28"/>
    <mergeCell ref="U38:V38"/>
    <mergeCell ref="U48:V48"/>
    <mergeCell ref="U58:V58"/>
    <mergeCell ref="U68:V68"/>
    <mergeCell ref="B8:V8"/>
    <mergeCell ref="B16:V16"/>
    <mergeCell ref="S20:S22"/>
    <mergeCell ref="T20:T22"/>
    <mergeCell ref="U20:U22"/>
    <mergeCell ref="V20:V22"/>
    <mergeCell ref="G20:G22"/>
    <mergeCell ref="H20:H22"/>
    <mergeCell ref="K20:K22"/>
    <mergeCell ref="O20:O22"/>
    <mergeCell ref="P20:P22"/>
    <mergeCell ref="Q20:Q22"/>
    <mergeCell ref="R20:R22"/>
    <mergeCell ref="L23:N23"/>
    <mergeCell ref="L24:N24"/>
    <mergeCell ref="L25:V25"/>
    <mergeCell ref="C28:E28"/>
    <mergeCell ref="L28:N28"/>
    <mergeCell ref="O28:O29"/>
  </mergeCells>
  <conditionalFormatting sqref="L20:N22 L30:N32 L40:N42 L50:N52 L60:N62 L70:N72">
    <cfRule type="containsText" dxfId="0" priority="1" operator="containsText" text="disp.">
      <formula>NOT(ISERROR(SEARCH("disp.",L20)))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2024</vt:lpstr>
      <vt:lpstr>'dal 1 ottobre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2025-01-09T12:44:30Z</dcterms:modified>
</cp:coreProperties>
</file>